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cnfps\FinSup\FINANCIAL SYSTEMS &amp; CONTROL\Systems Support and Maintenance Team\500 Spend\+5000 PO Report\2025-26\"/>
    </mc:Choice>
  </mc:AlternateContent>
  <xr:revisionPtr revIDLastSave="0" documentId="13_ncr:1_{F45F3C4F-78D0-43FE-8D43-18F044E74E51}" xr6:coauthVersionLast="47" xr6:coauthVersionMax="47" xr10:uidLastSave="{00000000-0000-0000-0000-000000000000}"/>
  <bookViews>
    <workbookView xWindow="-25215" yWindow="-930" windowWidth="18060" windowHeight="14805" xr2:uid="{00000000-000D-0000-FFFF-FFFF00000000}"/>
  </bookViews>
  <sheets>
    <sheet name="Report" sheetId="1" r:id="rId1"/>
  </sheets>
  <definedNames>
    <definedName name="__bookmark_2">Report!$B$1:$L$385</definedName>
    <definedName name="_xlnm._FilterDatabase" localSheetId="0" hidden="1">Report!$A$1:$M$386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6" i="1" l="1"/>
  <c r="K384" i="1"/>
  <c r="K380" i="1"/>
  <c r="K379" i="1"/>
  <c r="K381" i="1"/>
  <c r="K382" i="1"/>
  <c r="K371" i="1"/>
  <c r="K370" i="1"/>
  <c r="K369" i="1"/>
  <c r="K368" i="1"/>
  <c r="K376" i="1"/>
  <c r="K375" i="1"/>
  <c r="K365" i="1"/>
  <c r="K364" i="1"/>
  <c r="K359" i="1"/>
  <c r="K372" i="1"/>
  <c r="K351" i="1"/>
  <c r="K350" i="1"/>
  <c r="K373" i="1"/>
  <c r="K352" i="1"/>
  <c r="K349" i="1"/>
  <c r="K327" i="1"/>
  <c r="K355" i="1"/>
  <c r="K354" i="1"/>
  <c r="K378" i="1"/>
  <c r="K377" i="1"/>
  <c r="K55" i="1"/>
  <c r="K54" i="1"/>
  <c r="K53" i="1"/>
  <c r="K353" i="1"/>
  <c r="K358" i="1"/>
  <c r="K362" i="1"/>
  <c r="K374" i="1"/>
  <c r="K360" i="1"/>
  <c r="K316" i="1"/>
  <c r="K366" i="1"/>
  <c r="K367" i="1"/>
  <c r="K52" i="1"/>
  <c r="K313" i="1"/>
  <c r="K312" i="1"/>
  <c r="K361" i="1"/>
  <c r="K320" i="1"/>
  <c r="K314" i="1"/>
  <c r="K321" i="1"/>
  <c r="K315" i="1"/>
  <c r="K311" i="1"/>
  <c r="K317" i="1"/>
  <c r="K383" i="1"/>
  <c r="K5" i="1"/>
  <c r="K4" i="1"/>
  <c r="K3" i="1"/>
  <c r="K2" i="1"/>
  <c r="K51" i="1"/>
  <c r="K310" i="1"/>
  <c r="K309" i="1"/>
  <c r="K363" i="1"/>
  <c r="K318" i="1"/>
  <c r="K357" i="1"/>
  <c r="K356" i="1"/>
  <c r="K308" i="1"/>
  <c r="K306" i="1"/>
  <c r="K319" i="1"/>
  <c r="K50" i="1"/>
  <c r="K307" i="1"/>
  <c r="K305" i="1"/>
  <c r="K49" i="1"/>
  <c r="K304" i="1"/>
  <c r="K303" i="1"/>
  <c r="K302" i="1"/>
  <c r="K300" i="1"/>
  <c r="K48" i="1"/>
  <c r="K301" i="1"/>
  <c r="K47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299" i="1"/>
  <c r="K298" i="1"/>
  <c r="K293" i="1"/>
  <c r="K295" i="1"/>
  <c r="K21" i="1"/>
  <c r="K292" i="1"/>
  <c r="K326" i="1"/>
  <c r="K325" i="1"/>
  <c r="K324" i="1"/>
  <c r="K323" i="1"/>
  <c r="K322" i="1"/>
  <c r="K291" i="1"/>
  <c r="K296" i="1"/>
  <c r="K290" i="1"/>
  <c r="K46" i="1"/>
  <c r="K45" i="1"/>
  <c r="K44" i="1"/>
  <c r="K287" i="1"/>
  <c r="K17" i="1"/>
  <c r="K43" i="1"/>
  <c r="K283" i="1"/>
  <c r="K284" i="1"/>
  <c r="K285" i="1"/>
  <c r="K288" i="1"/>
  <c r="K280" i="1"/>
  <c r="K289" i="1"/>
  <c r="K278" i="1"/>
  <c r="K277" i="1"/>
  <c r="K286" i="1"/>
  <c r="K275" i="1"/>
  <c r="K42" i="1"/>
  <c r="K41" i="1"/>
  <c r="K297" i="1"/>
  <c r="K266" i="1"/>
  <c r="K276" i="1"/>
  <c r="K263" i="1"/>
  <c r="K262" i="1"/>
  <c r="K261" i="1"/>
  <c r="K258" i="1"/>
  <c r="K279" i="1"/>
  <c r="K259" i="1"/>
  <c r="K260" i="1"/>
  <c r="K256" i="1"/>
  <c r="K257" i="1"/>
  <c r="K281" i="1"/>
  <c r="K264" i="1"/>
  <c r="K255" i="1"/>
  <c r="K265" i="1"/>
  <c r="K253" i="1"/>
  <c r="K251" i="1"/>
  <c r="K254" i="1"/>
  <c r="K250" i="1"/>
  <c r="K248" i="1"/>
  <c r="K247" i="1"/>
  <c r="K245" i="1"/>
  <c r="K252" i="1"/>
  <c r="K244" i="1"/>
  <c r="K246" i="1"/>
  <c r="K249" i="1"/>
  <c r="K241" i="1"/>
  <c r="K237" i="1"/>
  <c r="K240" i="1"/>
  <c r="K236" i="1"/>
  <c r="K242" i="1"/>
  <c r="K243" i="1"/>
  <c r="K238" i="1"/>
  <c r="K270" i="1"/>
  <c r="K269" i="1"/>
  <c r="K268" i="1"/>
  <c r="K267" i="1"/>
  <c r="K274" i="1"/>
  <c r="K273" i="1"/>
  <c r="K272" i="1"/>
  <c r="K271" i="1"/>
  <c r="K234" i="1"/>
  <c r="K239" i="1"/>
  <c r="K229" i="1"/>
  <c r="K282" i="1"/>
  <c r="K233" i="1"/>
  <c r="K226" i="1"/>
  <c r="K225" i="1"/>
  <c r="K221" i="1"/>
  <c r="K222" i="1"/>
  <c r="K230" i="1"/>
  <c r="K223" i="1"/>
  <c r="K224" i="1"/>
  <c r="K228" i="1"/>
  <c r="K227" i="1"/>
  <c r="K218" i="1"/>
  <c r="K217" i="1"/>
  <c r="K206" i="1"/>
  <c r="K219" i="1"/>
  <c r="K208" i="1"/>
  <c r="K207" i="1"/>
  <c r="K39" i="1"/>
  <c r="K38" i="1"/>
  <c r="K204" i="1"/>
  <c r="K16" i="1"/>
  <c r="K15" i="1"/>
  <c r="K14" i="1"/>
  <c r="K13" i="1"/>
  <c r="K235" i="1"/>
  <c r="K205" i="1"/>
  <c r="K216" i="1"/>
  <c r="K215" i="1"/>
  <c r="K214" i="1"/>
  <c r="K213" i="1"/>
  <c r="K212" i="1"/>
  <c r="K220" i="1"/>
  <c r="K198" i="1"/>
  <c r="K201" i="1"/>
  <c r="K202" i="1"/>
  <c r="K195" i="1"/>
  <c r="K197" i="1"/>
  <c r="K196" i="1"/>
  <c r="K199" i="1"/>
  <c r="K200" i="1"/>
  <c r="K294" i="1"/>
  <c r="K40" i="1"/>
  <c r="K192" i="1"/>
  <c r="K211" i="1"/>
  <c r="K210" i="1"/>
  <c r="K209" i="1"/>
  <c r="K191" i="1"/>
  <c r="K203" i="1"/>
  <c r="K183" i="1"/>
  <c r="K37" i="1"/>
  <c r="K36" i="1"/>
  <c r="K20" i="1"/>
  <c r="K182" i="1"/>
  <c r="K186" i="1"/>
  <c r="K181" i="1"/>
  <c r="K180" i="1"/>
  <c r="K179" i="1"/>
  <c r="K173" i="1"/>
  <c r="K175" i="1"/>
  <c r="K176" i="1"/>
  <c r="K19" i="1"/>
  <c r="K231" i="1"/>
  <c r="K35" i="1"/>
  <c r="K174" i="1"/>
  <c r="K172" i="1"/>
  <c r="K169" i="1"/>
  <c r="K171" i="1"/>
  <c r="K178" i="1"/>
  <c r="K177" i="1"/>
  <c r="K187" i="1"/>
  <c r="K232" i="1"/>
  <c r="K164" i="1"/>
  <c r="K165" i="1"/>
  <c r="K168" i="1"/>
  <c r="K167" i="1"/>
  <c r="K34" i="1"/>
  <c r="K33" i="1"/>
  <c r="K162" i="1"/>
  <c r="K161" i="1"/>
  <c r="K160" i="1"/>
  <c r="K159" i="1"/>
  <c r="K158" i="1"/>
  <c r="K163" i="1"/>
  <c r="K32" i="1"/>
  <c r="K194" i="1"/>
  <c r="K154" i="1"/>
  <c r="K166" i="1"/>
  <c r="K153" i="1"/>
  <c r="K155" i="1"/>
  <c r="K156" i="1"/>
  <c r="K152" i="1"/>
  <c r="K150" i="1"/>
  <c r="K151" i="1"/>
  <c r="K149" i="1"/>
  <c r="K146" i="1"/>
  <c r="K145" i="1"/>
  <c r="K144" i="1"/>
  <c r="K170" i="1"/>
  <c r="K148" i="1"/>
  <c r="K190" i="1"/>
  <c r="K189" i="1"/>
  <c r="K188" i="1"/>
  <c r="K157" i="1"/>
  <c r="K143" i="1"/>
  <c r="K185" i="1"/>
  <c r="K184" i="1"/>
  <c r="K147" i="1"/>
  <c r="K141" i="1"/>
  <c r="K138" i="1"/>
  <c r="K132" i="1"/>
  <c r="K129" i="1"/>
  <c r="K127" i="1"/>
  <c r="K126" i="1"/>
  <c r="K31" i="1"/>
  <c r="K125" i="1"/>
  <c r="K139" i="1"/>
  <c r="K118" i="1"/>
  <c r="K140" i="1"/>
  <c r="K122" i="1"/>
  <c r="K121" i="1"/>
  <c r="K142" i="1"/>
  <c r="K133" i="1"/>
  <c r="K128" i="1"/>
  <c r="K111" i="1"/>
  <c r="K114" i="1"/>
  <c r="K131" i="1"/>
  <c r="K115" i="1"/>
  <c r="K120" i="1"/>
  <c r="K117" i="1"/>
  <c r="K137" i="1"/>
  <c r="K136" i="1"/>
  <c r="K135" i="1"/>
  <c r="K134" i="1"/>
  <c r="K112" i="1"/>
  <c r="K109" i="1"/>
  <c r="K110" i="1"/>
  <c r="K105" i="1"/>
  <c r="K104" i="1"/>
  <c r="K103" i="1"/>
  <c r="K102" i="1"/>
  <c r="K101" i="1"/>
  <c r="K116" i="1"/>
  <c r="K98" i="1"/>
  <c r="K130" i="1"/>
  <c r="K100" i="1"/>
  <c r="K99" i="1"/>
  <c r="K108" i="1"/>
  <c r="K107" i="1"/>
  <c r="K97" i="1"/>
  <c r="K106" i="1"/>
  <c r="K96" i="1"/>
  <c r="K95" i="1"/>
  <c r="K91" i="1"/>
  <c r="K90" i="1"/>
  <c r="K113" i="1"/>
  <c r="K87" i="1"/>
  <c r="K119" i="1"/>
  <c r="K30" i="1"/>
  <c r="K29" i="1"/>
  <c r="K28" i="1"/>
  <c r="K27" i="1"/>
  <c r="K86" i="1"/>
  <c r="K94" i="1"/>
  <c r="K26" i="1"/>
  <c r="K85" i="1"/>
  <c r="K123" i="1"/>
  <c r="K25" i="1"/>
  <c r="K82" i="1"/>
  <c r="K124" i="1"/>
  <c r="K18" i="1"/>
  <c r="K79" i="1"/>
  <c r="K89" i="1"/>
  <c r="K83" i="1"/>
  <c r="K385" i="1"/>
  <c r="K92" i="1"/>
  <c r="K93" i="1"/>
  <c r="K22" i="1"/>
  <c r="K88" i="1"/>
  <c r="K78" i="1"/>
  <c r="K76" i="1"/>
  <c r="K75" i="1"/>
  <c r="K74" i="1"/>
  <c r="K70" i="1"/>
  <c r="K71" i="1"/>
  <c r="K72" i="1"/>
  <c r="K77" i="1"/>
  <c r="K69" i="1"/>
  <c r="K66" i="1"/>
  <c r="K68" i="1"/>
  <c r="K67" i="1"/>
  <c r="K65" i="1"/>
  <c r="K73" i="1"/>
  <c r="K60" i="1"/>
  <c r="K59" i="1"/>
  <c r="K58" i="1"/>
  <c r="K84" i="1"/>
  <c r="K57" i="1"/>
  <c r="K56" i="1"/>
  <c r="K12" i="1"/>
  <c r="K11" i="1"/>
  <c r="K10" i="1"/>
  <c r="K9" i="1"/>
  <c r="K8" i="1"/>
  <c r="K7" i="1"/>
  <c r="K6" i="1"/>
  <c r="K80" i="1"/>
  <c r="K23" i="1"/>
  <c r="K64" i="1"/>
  <c r="K63" i="1"/>
  <c r="K62" i="1"/>
  <c r="K61" i="1"/>
  <c r="K81" i="1"/>
  <c r="K24" i="1"/>
  <c r="K193" i="1"/>
</calcChain>
</file>

<file path=xl/sharedStrings.xml><?xml version="1.0" encoding="utf-8"?>
<sst xmlns="http://schemas.openxmlformats.org/spreadsheetml/2006/main" count="2651" uniqueCount="801">
  <si>
    <t>ZZH762971</t>
  </si>
  <si>
    <t>07/11/2025</t>
  </si>
  <si>
    <t>Totally Local Company Ltd</t>
  </si>
  <si>
    <t>05/11/2025</t>
  </si>
  <si>
    <t>14/10/2025</t>
  </si>
  <si>
    <t>08/10/2025</t>
  </si>
  <si>
    <t>03/10/2025</t>
  </si>
  <si>
    <t>Transport for Greater Manchest</t>
  </si>
  <si>
    <t>15/10/2025</t>
  </si>
  <si>
    <t>C.01748.203</t>
  </si>
  <si>
    <t>09/10/2025</t>
  </si>
  <si>
    <t>C.10004.001</t>
  </si>
  <si>
    <t>ZZC761685</t>
  </si>
  <si>
    <t>06/10/2025</t>
  </si>
  <si>
    <t>ADVANCED CHILD CARE ASSESSMENT</t>
  </si>
  <si>
    <t>TLT LLP</t>
  </si>
  <si>
    <t>C.00845.203</t>
  </si>
  <si>
    <t>01/10/2025</t>
  </si>
  <si>
    <t>30/10/2025</t>
  </si>
  <si>
    <t>CBC Computer Systems Ltd</t>
  </si>
  <si>
    <t>ZZH761722</t>
  </si>
  <si>
    <t>07/10/2025</t>
  </si>
  <si>
    <t>Laurelle Brown Limited</t>
  </si>
  <si>
    <t>ZZH761495</t>
  </si>
  <si>
    <t>Rubber Soul Education</t>
  </si>
  <si>
    <t>02/10/2025</t>
  </si>
  <si>
    <t>ZZC761655</t>
  </si>
  <si>
    <t>Child in Mind Ltd</t>
  </si>
  <si>
    <t>ZZH761706</t>
  </si>
  <si>
    <t>FW Sherratt Ltd</t>
  </si>
  <si>
    <t>C.01221.203</t>
  </si>
  <si>
    <t>13/10/2025</t>
  </si>
  <si>
    <t>ZES761436</t>
  </si>
  <si>
    <t>Aristi Limited</t>
  </si>
  <si>
    <t>ZZH761450</t>
  </si>
  <si>
    <t>LeasePlan UK Limited</t>
  </si>
  <si>
    <t>ZZH761455</t>
  </si>
  <si>
    <t>Salford City Council/Finance</t>
  </si>
  <si>
    <t>ZZH761777</t>
  </si>
  <si>
    <t>IDOX Software Ltd</t>
  </si>
  <si>
    <t>21/10/2025</t>
  </si>
  <si>
    <t>10/11/2025</t>
  </si>
  <si>
    <t>Stockport County 2010 Ltd</t>
  </si>
  <si>
    <t>ZZH761469</t>
  </si>
  <si>
    <t>WeChange.AI Ltd</t>
  </si>
  <si>
    <t>20/10/2025</t>
  </si>
  <si>
    <t>GEORGE COX &amp; SONS LTD</t>
  </si>
  <si>
    <t>Greater Manchester TreeStation</t>
  </si>
  <si>
    <t>Oleg Mamedov</t>
  </si>
  <si>
    <t>ZZH761483</t>
  </si>
  <si>
    <t>Alma Lodge Hotel</t>
  </si>
  <si>
    <t>SMC Premier Cleaning ltd</t>
  </si>
  <si>
    <t>LOUISE QUIGLEY</t>
  </si>
  <si>
    <t>ZZH761492</t>
  </si>
  <si>
    <t>ZZH761617</t>
  </si>
  <si>
    <t>Sensible Choice Ltd - Lease on</t>
  </si>
  <si>
    <t>ZZH761507</t>
  </si>
  <si>
    <t>Hardisty CRN Ltd</t>
  </si>
  <si>
    <t>ZZH761512</t>
  </si>
  <si>
    <t>ZZH761513</t>
  </si>
  <si>
    <t>South Manchester Care</t>
  </si>
  <si>
    <t>ZZH761511</t>
  </si>
  <si>
    <t>ZZH761559</t>
  </si>
  <si>
    <t>Howard Lynn Property Ltd</t>
  </si>
  <si>
    <t>ROBERTSON FACILITIES MANAGEMEN</t>
  </si>
  <si>
    <t>Systemslink 2000 Ltd</t>
  </si>
  <si>
    <t>Tunstall Healthcare (UK) Ltd</t>
  </si>
  <si>
    <t>Phoenix Software Ltd</t>
  </si>
  <si>
    <t>C.10996.130</t>
  </si>
  <si>
    <t>ZZH761678</t>
  </si>
  <si>
    <t>City New &amp; Used Office Furnitu</t>
  </si>
  <si>
    <t>C.10423.111</t>
  </si>
  <si>
    <t>ZZH761586</t>
  </si>
  <si>
    <t>C.01593.201</t>
  </si>
  <si>
    <t>ZZH761578</t>
  </si>
  <si>
    <t>C.01620.201</t>
  </si>
  <si>
    <t>ZZH761576</t>
  </si>
  <si>
    <t>C.01693.201</t>
  </si>
  <si>
    <t>Wilde Consultants Ltd</t>
  </si>
  <si>
    <t>ZZH761637</t>
  </si>
  <si>
    <t>Gala Lights Ltd</t>
  </si>
  <si>
    <t>ZZH761638</t>
  </si>
  <si>
    <t>ZZH761639</t>
  </si>
  <si>
    <t>Bethell Construction Ltd</t>
  </si>
  <si>
    <t>18/10/2025</t>
  </si>
  <si>
    <t>ZZH761696</t>
  </si>
  <si>
    <t>Team Teach Ltd</t>
  </si>
  <si>
    <t>ZZH761948</t>
  </si>
  <si>
    <t>Ali Gardner t/a Head Heart Han</t>
  </si>
  <si>
    <t>ZZC761646</t>
  </si>
  <si>
    <t>Halle Concerts Society</t>
  </si>
  <si>
    <t>ZZH761974</t>
  </si>
  <si>
    <t>ZZH761973</t>
  </si>
  <si>
    <t>Massey and Harris(Engineering)</t>
  </si>
  <si>
    <t>ZZP761665</t>
  </si>
  <si>
    <t>Goofus Theatre</t>
  </si>
  <si>
    <t>27/10/2025</t>
  </si>
  <si>
    <t>ZZH761762</t>
  </si>
  <si>
    <t>Freshworks</t>
  </si>
  <si>
    <t>ZZH761950</t>
  </si>
  <si>
    <t>ZZH761704</t>
  </si>
  <si>
    <t>Wigan MBC</t>
  </si>
  <si>
    <t>ZSB761713</t>
  </si>
  <si>
    <t>City in the Community Foundati</t>
  </si>
  <si>
    <t>ZZH762234</t>
  </si>
  <si>
    <t>A Pacini Ltd</t>
  </si>
  <si>
    <t>SOLO PROTECT LTD</t>
  </si>
  <si>
    <t>10/10/2025</t>
  </si>
  <si>
    <t>ZZH761746</t>
  </si>
  <si>
    <t>Virtual School College Plus</t>
  </si>
  <si>
    <t>04/11/2025</t>
  </si>
  <si>
    <t>ZZC761771</t>
  </si>
  <si>
    <t>Wythenshawe Community Housing</t>
  </si>
  <si>
    <t>ZZH762233</t>
  </si>
  <si>
    <t>ZZH761801</t>
  </si>
  <si>
    <t>TheNational Trust(Enterprises)</t>
  </si>
  <si>
    <t>ZZC761816</t>
  </si>
  <si>
    <t>Buy Me Media Ltd</t>
  </si>
  <si>
    <t>Black Cat Building Consultancy</t>
  </si>
  <si>
    <t>01/12/2025</t>
  </si>
  <si>
    <t>ZZH761983</t>
  </si>
  <si>
    <t>ZZH761892</t>
  </si>
  <si>
    <t>GMCA - GMUTC</t>
  </si>
  <si>
    <t>22/10/2025</t>
  </si>
  <si>
    <t>ECS Consultants Limited</t>
  </si>
  <si>
    <t>Simpson Associates Information</t>
  </si>
  <si>
    <t>ZZC761871</t>
  </si>
  <si>
    <t>MANCHESTER DEAF CENTRE LTD</t>
  </si>
  <si>
    <t>ZZC761872</t>
  </si>
  <si>
    <t>ZZH762205</t>
  </si>
  <si>
    <t>Plastic Shed Ltd</t>
  </si>
  <si>
    <t>C.01662.203</t>
  </si>
  <si>
    <t>16/10/2025</t>
  </si>
  <si>
    <t>ZZH761914</t>
  </si>
  <si>
    <t>Wigan Council...</t>
  </si>
  <si>
    <t>17/10/2025</t>
  </si>
  <si>
    <t>ZZH762145</t>
  </si>
  <si>
    <t>Marketing Manchester</t>
  </si>
  <si>
    <t>ZZH761961</t>
  </si>
  <si>
    <t>Malcolm Hughes Land Survey</t>
  </si>
  <si>
    <t>JR Foy and Son Ltd</t>
  </si>
  <si>
    <t>ZZH761967</t>
  </si>
  <si>
    <t>Equisys Timemaster Ltd</t>
  </si>
  <si>
    <t>ZZH762004</t>
  </si>
  <si>
    <t>EVouchers Limited</t>
  </si>
  <si>
    <t>Sensible Choice Ltd</t>
  </si>
  <si>
    <t>ZZH762029</t>
  </si>
  <si>
    <t>ZZH762077</t>
  </si>
  <si>
    <t>ZZH762045</t>
  </si>
  <si>
    <t>Safer 2gether Ltd</t>
  </si>
  <si>
    <t>Lubbe and Sons (Bulbs) Ltd</t>
  </si>
  <si>
    <t>ZZH762082</t>
  </si>
  <si>
    <t>Adventure Cap Ltd</t>
  </si>
  <si>
    <t>ZZH762073</t>
  </si>
  <si>
    <t>ZZH762393</t>
  </si>
  <si>
    <t>23/10/2025</t>
  </si>
  <si>
    <t>SAP (UK) Ltd</t>
  </si>
  <si>
    <t>ZZH762067</t>
  </si>
  <si>
    <t>Participation People</t>
  </si>
  <si>
    <t>ZZH762183</t>
  </si>
  <si>
    <t>IPL Plastics Ltd</t>
  </si>
  <si>
    <t>ZZH762074</t>
  </si>
  <si>
    <t>UK Container Maintenance Ltd</t>
  </si>
  <si>
    <t>ZZH762076</t>
  </si>
  <si>
    <t>Smoothwall Ltd</t>
  </si>
  <si>
    <t>Stockport NHS Foundation Trust</t>
  </si>
  <si>
    <t>25/11/2025</t>
  </si>
  <si>
    <t>ZZH762099</t>
  </si>
  <si>
    <t>Gaist Solutions Ltd</t>
  </si>
  <si>
    <t>ZZH762096</t>
  </si>
  <si>
    <t>NEC Software Solutions UK Ltd</t>
  </si>
  <si>
    <t>03/11/2025</t>
  </si>
  <si>
    <t>ZZH762125</t>
  </si>
  <si>
    <t>StatMap Limited</t>
  </si>
  <si>
    <t>BT Plc (Openreach)</t>
  </si>
  <si>
    <t>ZZH762445</t>
  </si>
  <si>
    <t>24/10/2025</t>
  </si>
  <si>
    <t>ZZH762184</t>
  </si>
  <si>
    <t>Broxap Ltd</t>
  </si>
  <si>
    <t>ZZH762212</t>
  </si>
  <si>
    <t>Bibliotheca Ltd</t>
  </si>
  <si>
    <t>ZZH762167</t>
  </si>
  <si>
    <t>Tameside MBC</t>
  </si>
  <si>
    <t>ZZH762394</t>
  </si>
  <si>
    <t>Liquidlogic Limited</t>
  </si>
  <si>
    <t>ZZH762154</t>
  </si>
  <si>
    <t>Big Blue Door Limited</t>
  </si>
  <si>
    <t>ZZH762117</t>
  </si>
  <si>
    <t>Tarmac Trading Ltd</t>
  </si>
  <si>
    <t>C.01511.203</t>
  </si>
  <si>
    <t>ZZH762348</t>
  </si>
  <si>
    <t>The Yaboo Company Limited t/a</t>
  </si>
  <si>
    <t>Getech</t>
  </si>
  <si>
    <t>ZZH762429</t>
  </si>
  <si>
    <t>28/10/2025</t>
  </si>
  <si>
    <t>Stockport Homes</t>
  </si>
  <si>
    <t>ZZH762528</t>
  </si>
  <si>
    <t>ZZH762225</t>
  </si>
  <si>
    <t>C.10993.251</t>
  </si>
  <si>
    <t>ZZH762226</t>
  </si>
  <si>
    <t>C.10523.193</t>
  </si>
  <si>
    <t>ZZH762498</t>
  </si>
  <si>
    <t>SME HCI Ltd (t/a Vivup) Home</t>
  </si>
  <si>
    <t>ZZH762195</t>
  </si>
  <si>
    <t>Barker Proudlove Limited</t>
  </si>
  <si>
    <t>ELECTRICITY NORTH WEST LIMITED</t>
  </si>
  <si>
    <t>ZZH762485</t>
  </si>
  <si>
    <t>C.01646.203</t>
  </si>
  <si>
    <t>ZZH762257</t>
  </si>
  <si>
    <t>C.11523.005</t>
  </si>
  <si>
    <t>ZZC762263</t>
  </si>
  <si>
    <t>Central Bedfordshire Council</t>
  </si>
  <si>
    <t>C.11502.129</t>
  </si>
  <si>
    <t>C.11006.001</t>
  </si>
  <si>
    <t>ZZH762271</t>
  </si>
  <si>
    <t>ZZH762276</t>
  </si>
  <si>
    <t>Marple Hall School</t>
  </si>
  <si>
    <t>C.01671.203</t>
  </si>
  <si>
    <t>ZZH762357</t>
  </si>
  <si>
    <t>Rochdale MBC</t>
  </si>
  <si>
    <t>29/10/2025</t>
  </si>
  <si>
    <t>Hearing Products Int Ltd</t>
  </si>
  <si>
    <t>ZZH762419</t>
  </si>
  <si>
    <t>HBL Associates LTD</t>
  </si>
  <si>
    <t>C.11502.131</t>
  </si>
  <si>
    <t>14/11/2025</t>
  </si>
  <si>
    <t>ZZH762452</t>
  </si>
  <si>
    <t>C.01754.202</t>
  </si>
  <si>
    <t>C.11522</t>
  </si>
  <si>
    <t>02/12/2025</t>
  </si>
  <si>
    <t>11/11/2025</t>
  </si>
  <si>
    <t>ZZH762520</t>
  </si>
  <si>
    <t>Precise Media Monitoring Ltd</t>
  </si>
  <si>
    <t>University of Manchester</t>
  </si>
  <si>
    <t>ZZH762569</t>
  </si>
  <si>
    <t>ZZH762927</t>
  </si>
  <si>
    <t>06/11/2025</t>
  </si>
  <si>
    <t>Marwood Electrical</t>
  </si>
  <si>
    <t>C.01219.203</t>
  </si>
  <si>
    <t>ZZH762547</t>
  </si>
  <si>
    <t>Blackpool Council.</t>
  </si>
  <si>
    <t>ZZH762636</t>
  </si>
  <si>
    <t>ZZH762932</t>
  </si>
  <si>
    <t>ZZH762933</t>
  </si>
  <si>
    <t>ZZH762575</t>
  </si>
  <si>
    <t>ZZH762722</t>
  </si>
  <si>
    <t>WSP GROUP PLC</t>
  </si>
  <si>
    <t>C KNOWLES CONSULTANT LTD</t>
  </si>
  <si>
    <t>ZZH762552</t>
  </si>
  <si>
    <t>ZZH762553</t>
  </si>
  <si>
    <t>Delib Limited</t>
  </si>
  <si>
    <t>ZZH762554</t>
  </si>
  <si>
    <t>Dr Joanna Garstang</t>
  </si>
  <si>
    <t>C.10338.109</t>
  </si>
  <si>
    <t>Gateway Psychology Ltd</t>
  </si>
  <si>
    <t>ZZH762600</t>
  </si>
  <si>
    <t>ZZH762602</t>
  </si>
  <si>
    <t>ZZH762601</t>
  </si>
  <si>
    <t>ZZH762609</t>
  </si>
  <si>
    <t>ZZH762613</t>
  </si>
  <si>
    <t>ZZH762612</t>
  </si>
  <si>
    <t>ZZH762610</t>
  </si>
  <si>
    <t>ZZH762679</t>
  </si>
  <si>
    <t>Groundwork Greater Manchester</t>
  </si>
  <si>
    <t>ZZH762611</t>
  </si>
  <si>
    <t>ZZH763033</t>
  </si>
  <si>
    <t>Sector 3 Stockport</t>
  </si>
  <si>
    <t>12/11/2025</t>
  </si>
  <si>
    <t>31/10/2025</t>
  </si>
  <si>
    <t>ZZC762663</t>
  </si>
  <si>
    <t>CORAM</t>
  </si>
  <si>
    <t>ZZH762671</t>
  </si>
  <si>
    <t>Greater Manchester Combined Au</t>
  </si>
  <si>
    <t>Traffic Direct Ltd</t>
  </si>
  <si>
    <t>ZZH762654</t>
  </si>
  <si>
    <t>Data Privacy Advisory Service</t>
  </si>
  <si>
    <t>ZZC762666</t>
  </si>
  <si>
    <t>ADOPTION MATTERS NORTHWEST</t>
  </si>
  <si>
    <t>ZZH762699</t>
  </si>
  <si>
    <t>Tekwurx Limited</t>
  </si>
  <si>
    <t>ZZH762678</t>
  </si>
  <si>
    <t>Wilks Head &amp; Eve Chartered</t>
  </si>
  <si>
    <t>ZZH762676</t>
  </si>
  <si>
    <t>C.00994.201</t>
  </si>
  <si>
    <t>ZZH763459</t>
  </si>
  <si>
    <t>19/11/2025</t>
  </si>
  <si>
    <t>ZZH762931</t>
  </si>
  <si>
    <t>ZZH762788</t>
  </si>
  <si>
    <t>ZZH762789</t>
  </si>
  <si>
    <t>CBRE Limited</t>
  </si>
  <si>
    <t>ZZH762750</t>
  </si>
  <si>
    <t>C.01750.203</t>
  </si>
  <si>
    <t>ZZH762703</t>
  </si>
  <si>
    <t>Norwest Plant</t>
  </si>
  <si>
    <t>ZZH762751</t>
  </si>
  <si>
    <t>ZZH762753</t>
  </si>
  <si>
    <t>Andrea Soykan</t>
  </si>
  <si>
    <t>C.11086.100</t>
  </si>
  <si>
    <t>ZZC762723</t>
  </si>
  <si>
    <t>ZZH763458</t>
  </si>
  <si>
    <t>iESE Innovation Ltd</t>
  </si>
  <si>
    <t>ZSB762749</t>
  </si>
  <si>
    <t>ZZH762783</t>
  </si>
  <si>
    <t>Dobege International Ltd R &amp;</t>
  </si>
  <si>
    <t>ZZH762763</t>
  </si>
  <si>
    <t>Vivid Resourcing</t>
  </si>
  <si>
    <t>ZZH762752</t>
  </si>
  <si>
    <t>Dr Lynda Dodd</t>
  </si>
  <si>
    <t>Mills &amp; Reeve LLP (office acco</t>
  </si>
  <si>
    <t>ZZH762793</t>
  </si>
  <si>
    <t>JWM Industrial Services Ltd</t>
  </si>
  <si>
    <t>13/11/2025</t>
  </si>
  <si>
    <t>ZZH762827</t>
  </si>
  <si>
    <t>ZZH762863</t>
  </si>
  <si>
    <t>C.01505.202</t>
  </si>
  <si>
    <t>ZZH762928</t>
  </si>
  <si>
    <t>ZZH762884</t>
  </si>
  <si>
    <t>Signis Limited</t>
  </si>
  <si>
    <t>ZSB763048</t>
  </si>
  <si>
    <t>Arthur J. Gallagher Ins (Actur</t>
  </si>
  <si>
    <t>ZZC762886</t>
  </si>
  <si>
    <t>One Education Ltd</t>
  </si>
  <si>
    <t>28/11/2025</t>
  </si>
  <si>
    <t>ZZH762890</t>
  </si>
  <si>
    <t>C.10396.187</t>
  </si>
  <si>
    <t>18/11/2025</t>
  </si>
  <si>
    <t>ZZH763151</t>
  </si>
  <si>
    <t>ZZH762938</t>
  </si>
  <si>
    <t>C.01753.202</t>
  </si>
  <si>
    <t>Stockport Active CIC</t>
  </si>
  <si>
    <t>ZZH763321</t>
  </si>
  <si>
    <t>17/11/2025</t>
  </si>
  <si>
    <t>ZZH763322</t>
  </si>
  <si>
    <t>Trace Solutions</t>
  </si>
  <si>
    <t>ZZH763323</t>
  </si>
  <si>
    <t>Seashell Trust</t>
  </si>
  <si>
    <t>RNIB (Product Sales)</t>
  </si>
  <si>
    <t>ZZH762959</t>
  </si>
  <si>
    <t>ZZC763924</t>
  </si>
  <si>
    <t>Northamptonshire Domestic Abus</t>
  </si>
  <si>
    <t>ZZH764306</t>
  </si>
  <si>
    <t>10/12/2025</t>
  </si>
  <si>
    <t>ZZH763117</t>
  </si>
  <si>
    <t>Age UK Stockport</t>
  </si>
  <si>
    <t>ZZH763116</t>
  </si>
  <si>
    <t>ZZH763072</t>
  </si>
  <si>
    <t>ZZH763073</t>
  </si>
  <si>
    <t>ZZH763071</t>
  </si>
  <si>
    <t>The Thread Limited</t>
  </si>
  <si>
    <t>ZZH763120</t>
  </si>
  <si>
    <t>ZZH763118</t>
  </si>
  <si>
    <t>ZZH763105</t>
  </si>
  <si>
    <t>C.11526.100</t>
  </si>
  <si>
    <t>24/11/2025</t>
  </si>
  <si>
    <t>ZZH763408</t>
  </si>
  <si>
    <t>Marple Hall School (Helix Acad</t>
  </si>
  <si>
    <t>ZZH763325</t>
  </si>
  <si>
    <t>Urban Fabric Architects LLP</t>
  </si>
  <si>
    <t>ZZH763326</t>
  </si>
  <si>
    <t>ZZH763331</t>
  </si>
  <si>
    <t>ZZH763200</t>
  </si>
  <si>
    <t>Brightly Software Limited</t>
  </si>
  <si>
    <t>ZZH763487</t>
  </si>
  <si>
    <t>20/11/2025</t>
  </si>
  <si>
    <t>Edge Analytics Ltd</t>
  </si>
  <si>
    <t>ZHS763175</t>
  </si>
  <si>
    <t>C.11670.001</t>
  </si>
  <si>
    <t>ZZH763192</t>
  </si>
  <si>
    <t>South London and Maudsley NHS</t>
  </si>
  <si>
    <t>ZZC763211</t>
  </si>
  <si>
    <t>ZZH763270</t>
  </si>
  <si>
    <t>C.01606.203</t>
  </si>
  <si>
    <t>ZZH763271</t>
  </si>
  <si>
    <t>ZZH763365</t>
  </si>
  <si>
    <t>Willfab Ltd</t>
  </si>
  <si>
    <t>ZZH763239</t>
  </si>
  <si>
    <t>ZZH763360</t>
  </si>
  <si>
    <t>AtkinsRéalis UK Limited</t>
  </si>
  <si>
    <t>ZZH763361</t>
  </si>
  <si>
    <t>Civica UK Ltd</t>
  </si>
  <si>
    <t>22/11/2025</t>
  </si>
  <si>
    <t>ZZH763447</t>
  </si>
  <si>
    <t>CBRE</t>
  </si>
  <si>
    <t>ZZH763433</t>
  </si>
  <si>
    <t>Make a Difference GM</t>
  </si>
  <si>
    <t>ZZH763420</t>
  </si>
  <si>
    <t>C.01755.202</t>
  </si>
  <si>
    <t>ZZH763457</t>
  </si>
  <si>
    <t>Warrington MBC</t>
  </si>
  <si>
    <t>ZZH763419</t>
  </si>
  <si>
    <t>C.01727.203</t>
  </si>
  <si>
    <t>ZZH763418</t>
  </si>
  <si>
    <t>03/12/2025</t>
  </si>
  <si>
    <t>NEW ROOTS THERAPY NW</t>
  </si>
  <si>
    <t>21/11/2025</t>
  </si>
  <si>
    <t>MAKING SPACE</t>
  </si>
  <si>
    <t>ZZH763437</t>
  </si>
  <si>
    <t>ZZH763439</t>
  </si>
  <si>
    <t>C.01606.202</t>
  </si>
  <si>
    <t>ZZH763467</t>
  </si>
  <si>
    <t>39 Essex Chambers</t>
  </si>
  <si>
    <t>ZZH764119</t>
  </si>
  <si>
    <t>04/12/2025</t>
  </si>
  <si>
    <t>ThemPra Social Pedagogy</t>
  </si>
  <si>
    <t>ZZH763456</t>
  </si>
  <si>
    <t>ZZH763523</t>
  </si>
  <si>
    <t>Paragon Customer Communication</t>
  </si>
  <si>
    <t>ZZH763485</t>
  </si>
  <si>
    <t>C.10976.009</t>
  </si>
  <si>
    <t>ZZH763999</t>
  </si>
  <si>
    <t>Chubb Security</t>
  </si>
  <si>
    <t>ZZH763998</t>
  </si>
  <si>
    <t>ZZH763522</t>
  </si>
  <si>
    <t>Royal Mail</t>
  </si>
  <si>
    <t>09/12/2025</t>
  </si>
  <si>
    <t>ZZH763531</t>
  </si>
  <si>
    <t>ZZH763530</t>
  </si>
  <si>
    <t>C.01623.203</t>
  </si>
  <si>
    <t>ZZH763515</t>
  </si>
  <si>
    <t>ZZH763527</t>
  </si>
  <si>
    <t>Network Rail Infras'ture Ltd</t>
  </si>
  <si>
    <t>ZZH763517</t>
  </si>
  <si>
    <t>Bikeright</t>
  </si>
  <si>
    <t>ZZH763528</t>
  </si>
  <si>
    <t>ZZH763573</t>
  </si>
  <si>
    <t>The Gift Voucher Shop UK Ltd</t>
  </si>
  <si>
    <t>ZZH763563</t>
  </si>
  <si>
    <t>Bolton Council</t>
  </si>
  <si>
    <t>ZZH763553</t>
  </si>
  <si>
    <t>ZZH763604</t>
  </si>
  <si>
    <t>ZZH763559</t>
  </si>
  <si>
    <t>Public-i</t>
  </si>
  <si>
    <t>ZZH763570</t>
  </si>
  <si>
    <t>ZZH763572</t>
  </si>
  <si>
    <t>26/11/2025</t>
  </si>
  <si>
    <t>ZZH763594</t>
  </si>
  <si>
    <t>ZZH763648</t>
  </si>
  <si>
    <t>ZZH763595</t>
  </si>
  <si>
    <t>C.11523.001</t>
  </si>
  <si>
    <t>ZZH763607</t>
  </si>
  <si>
    <t>RICS - Professional Membership</t>
  </si>
  <si>
    <t>ZZH763920</t>
  </si>
  <si>
    <t>16/12/2025</t>
  </si>
  <si>
    <t>ZZH763673</t>
  </si>
  <si>
    <t>ZZH763919</t>
  </si>
  <si>
    <t>ZZH764074</t>
  </si>
  <si>
    <t>ZZH763854</t>
  </si>
  <si>
    <t>C.11644.015</t>
  </si>
  <si>
    <t>ZZH763736</t>
  </si>
  <si>
    <t>ZZH763860</t>
  </si>
  <si>
    <t>ZZH763859</t>
  </si>
  <si>
    <t>11/12/2025</t>
  </si>
  <si>
    <t>ZZH764024</t>
  </si>
  <si>
    <t>ZZH763856</t>
  </si>
  <si>
    <t>C.01730.203</t>
  </si>
  <si>
    <t>08/12/2025</t>
  </si>
  <si>
    <t>ZZH763865</t>
  </si>
  <si>
    <t>Connect Care Recruitment &amp; CYP</t>
  </si>
  <si>
    <t>ZZH764015</t>
  </si>
  <si>
    <t>Depaul UK</t>
  </si>
  <si>
    <t>ZZH763963</t>
  </si>
  <si>
    <t>White Ribbon Camaign UK</t>
  </si>
  <si>
    <t>ZZH764350</t>
  </si>
  <si>
    <t>C.01622.203</t>
  </si>
  <si>
    <t>15/12/2025</t>
  </si>
  <si>
    <t>ZZC763978</t>
  </si>
  <si>
    <t>NeuroConnect CIC</t>
  </si>
  <si>
    <t>05/12/2025</t>
  </si>
  <si>
    <t>ZZH764007</t>
  </si>
  <si>
    <t>C.00717.201</t>
  </si>
  <si>
    <t>12/12/2025</t>
  </si>
  <si>
    <t>17/12/2025</t>
  </si>
  <si>
    <t>ZZH764212</t>
  </si>
  <si>
    <t>ZZH764018</t>
  </si>
  <si>
    <t>C.01693.202</t>
  </si>
  <si>
    <t>ZZH764019</t>
  </si>
  <si>
    <t>ZZH764223</t>
  </si>
  <si>
    <t>ZZH764065</t>
  </si>
  <si>
    <t>C.01760.202</t>
  </si>
  <si>
    <t>ZZH764221</t>
  </si>
  <si>
    <t>ZZH764183</t>
  </si>
  <si>
    <t>ZZH764181</t>
  </si>
  <si>
    <t>ZZH764138</t>
  </si>
  <si>
    <t>ZZC764135</t>
  </si>
  <si>
    <t>Bolton MBC Corporate Resources</t>
  </si>
  <si>
    <t>ZHS764133</t>
  </si>
  <si>
    <t>IRT Surveys LTD</t>
  </si>
  <si>
    <t>ZZH764219</t>
  </si>
  <si>
    <t>Constellia Public Limited</t>
  </si>
  <si>
    <t>ZZC764155</t>
  </si>
  <si>
    <t>ZZC764158</t>
  </si>
  <si>
    <t>18/12/2025</t>
  </si>
  <si>
    <t>ZZH764236</t>
  </si>
  <si>
    <t>ZZH764349</t>
  </si>
  <si>
    <t>C.01809.203</t>
  </si>
  <si>
    <t>ZZH764255</t>
  </si>
  <si>
    <t>C.01764.202</t>
  </si>
  <si>
    <t>ZZH764634</t>
  </si>
  <si>
    <t>ZZH764268</t>
  </si>
  <si>
    <t>ZSB764323</t>
  </si>
  <si>
    <t>OM Property UK Limited</t>
  </si>
  <si>
    <t>ZZH764331</t>
  </si>
  <si>
    <t>ZZH764283</t>
  </si>
  <si>
    <t>Rider Levett Bucknall UK Limit</t>
  </si>
  <si>
    <t>22/12/2025</t>
  </si>
  <si>
    <t>ZZH764351</t>
  </si>
  <si>
    <t>ZZH764352</t>
  </si>
  <si>
    <t>Viridian Consulting Engineers</t>
  </si>
  <si>
    <t>ZZH764660</t>
  </si>
  <si>
    <t>ZZC764359</t>
  </si>
  <si>
    <t>Musique Anglo-Normande (Travel</t>
  </si>
  <si>
    <t>ZZH764375</t>
  </si>
  <si>
    <t>Fluff Alley Ltd</t>
  </si>
  <si>
    <t>ZZC764384</t>
  </si>
  <si>
    <t>Reach Publishing Serv (MEN)</t>
  </si>
  <si>
    <t>ZZH764366</t>
  </si>
  <si>
    <t>ZZH764392</t>
  </si>
  <si>
    <t>C.11508.001</t>
  </si>
  <si>
    <t>ZZH764398</t>
  </si>
  <si>
    <t>Badger Ecology Limited</t>
  </si>
  <si>
    <t>ZZH764404</t>
  </si>
  <si>
    <t>ZZC764409</t>
  </si>
  <si>
    <t>ZZH764410</t>
  </si>
  <si>
    <t>New Beginnings GM</t>
  </si>
  <si>
    <t>ZZH764442</t>
  </si>
  <si>
    <t>ZZC764414</t>
  </si>
  <si>
    <t>ZZH764543</t>
  </si>
  <si>
    <t>ZZH764422</t>
  </si>
  <si>
    <t>G-Map Services</t>
  </si>
  <si>
    <t>ZZH764445</t>
  </si>
  <si>
    <t>ZZH764716</t>
  </si>
  <si>
    <t>19/12/2025</t>
  </si>
  <si>
    <t>ZZH764537</t>
  </si>
  <si>
    <t>Avison Young (UK) Limited</t>
  </si>
  <si>
    <t>23/12/2025</t>
  </si>
  <si>
    <t>ZZH764802</t>
  </si>
  <si>
    <t>ZZH764472</t>
  </si>
  <si>
    <t>C.01498.202</t>
  </si>
  <si>
    <t>ZZH764476</t>
  </si>
  <si>
    <t>CAE Technology Services Ltd</t>
  </si>
  <si>
    <t>ZZC764484</t>
  </si>
  <si>
    <t>ZAV764562</t>
  </si>
  <si>
    <t>ZZH764886</t>
  </si>
  <si>
    <t>30/12/2025</t>
  </si>
  <si>
    <t>Faronics EMEA</t>
  </si>
  <si>
    <t>ZZH764534</t>
  </si>
  <si>
    <t>ZZH764510</t>
  </si>
  <si>
    <t>C.11508.007</t>
  </si>
  <si>
    <t>ZZH764525</t>
  </si>
  <si>
    <t>Precision Resource Group Limit</t>
  </si>
  <si>
    <t>ZZH764606</t>
  </si>
  <si>
    <t>ZZH764523</t>
  </si>
  <si>
    <t>System One Travel</t>
  </si>
  <si>
    <t>ZZH764552</t>
  </si>
  <si>
    <t>ZZH764799</t>
  </si>
  <si>
    <t>ZZH764512</t>
  </si>
  <si>
    <t>ZZH764515</t>
  </si>
  <si>
    <t>ZZC764519</t>
  </si>
  <si>
    <t>Intercountry Adoption Centre</t>
  </si>
  <si>
    <t>ZZH764821</t>
  </si>
  <si>
    <t>ZZH764820</t>
  </si>
  <si>
    <t>ZZH764530</t>
  </si>
  <si>
    <t>Keane Minds Ltd</t>
  </si>
  <si>
    <t>ZZH764777</t>
  </si>
  <si>
    <t>Impey + Co Ltd</t>
  </si>
  <si>
    <t>29/12/2025</t>
  </si>
  <si>
    <t>ZZH764836</t>
  </si>
  <si>
    <t>24/12/2025</t>
  </si>
  <si>
    <t>ZZH764801</t>
  </si>
  <si>
    <t>THE BROWN RURAL PARTNERSHIP</t>
  </si>
  <si>
    <t>ZZH764720</t>
  </si>
  <si>
    <t>ZZH764711</t>
  </si>
  <si>
    <t>ZZC764626</t>
  </si>
  <si>
    <t>ZZC764627</t>
  </si>
  <si>
    <t>ZZH764871</t>
  </si>
  <si>
    <t>Boxxe</t>
  </si>
  <si>
    <t>ZZH764714</t>
  </si>
  <si>
    <t>ZZH764644</t>
  </si>
  <si>
    <t>ZZH764661</t>
  </si>
  <si>
    <t>Nurture Psychology Ltd</t>
  </si>
  <si>
    <t>ZZH764694</t>
  </si>
  <si>
    <t>C.01505.203</t>
  </si>
  <si>
    <t>ZZH764830</t>
  </si>
  <si>
    <t>AMS International</t>
  </si>
  <si>
    <t>ZZH764678</t>
  </si>
  <si>
    <t>Netcall Technology Limited</t>
  </si>
  <si>
    <t>ZZH764829</t>
  </si>
  <si>
    <t>ZZH764723</t>
  </si>
  <si>
    <t>ZZH764804</t>
  </si>
  <si>
    <t>ZZH764814</t>
  </si>
  <si>
    <t>NHS GREATER MANCHESTER INTEGRA</t>
  </si>
  <si>
    <t>ZZH764864</t>
  </si>
  <si>
    <t>ZZH764867</t>
  </si>
  <si>
    <t>ZZH764824</t>
  </si>
  <si>
    <t>ZZH764826</t>
  </si>
  <si>
    <t>ZZH764827</t>
  </si>
  <si>
    <t>C.01245.203</t>
  </si>
  <si>
    <t>ZZH764884</t>
  </si>
  <si>
    <t>Salvesen (UK) Ltd</t>
  </si>
  <si>
    <t>ZZH764876</t>
  </si>
  <si>
    <t>ZZH764874</t>
  </si>
  <si>
    <t>ESE Ltd</t>
  </si>
  <si>
    <t>ZZH764887</t>
  </si>
  <si>
    <t>SITEIMPROVE LTD</t>
  </si>
  <si>
    <t>Document Date</t>
  </si>
  <si>
    <t>Purchase Order No</t>
  </si>
  <si>
    <t>Line Item No</t>
  </si>
  <si>
    <t>Supplier ID</t>
  </si>
  <si>
    <t>Supplier Name</t>
  </si>
  <si>
    <t>Pro Class</t>
  </si>
  <si>
    <t>Pro Class Description</t>
  </si>
  <si>
    <t>Description of Goods (Purpose of expenditure look up)</t>
  </si>
  <si>
    <t>Service/Department   (SAP Hierarchy Position)</t>
  </si>
  <si>
    <t>Expense Area (cost centre desc)</t>
  </si>
  <si>
    <t>Net Order Value Over £5000.00 (line item value shown here)</t>
  </si>
  <si>
    <t>GL Code</t>
  </si>
  <si>
    <t>Cost Centre/WBS</t>
  </si>
  <si>
    <t xml:space="preserve">Environmental Services Technical Equipment </t>
  </si>
  <si>
    <t>Furniture and Equipment</t>
  </si>
  <si>
    <t>Corporate and Support Services</t>
  </si>
  <si>
    <t>IT AVA Non - SLA</t>
  </si>
  <si>
    <t xml:space="preserve">Information Communication Technology  </t>
  </si>
  <si>
    <t>Information and Communications Technology</t>
  </si>
  <si>
    <t>IT Infrastructure</t>
  </si>
  <si>
    <t xml:space="preserve">Works - Construction, Repair &amp; Maintenance  </t>
  </si>
  <si>
    <t>Capital Expenditure - Works</t>
  </si>
  <si>
    <t xml:space="preserve">Education  </t>
  </si>
  <si>
    <t>Fees and Charges</t>
  </si>
  <si>
    <t>Services to People</t>
  </si>
  <si>
    <t>Highfields PRU</t>
  </si>
  <si>
    <t xml:space="preserve">Human Resources  </t>
  </si>
  <si>
    <t>Staff Training</t>
  </si>
  <si>
    <t xml:space="preserve">Consultancy   </t>
  </si>
  <si>
    <t>Professional Fees</t>
  </si>
  <si>
    <t xml:space="preserve">Financial Services Rents </t>
  </si>
  <si>
    <t>Rents</t>
  </si>
  <si>
    <t xml:space="preserve">Arts &amp; Leisure Services  </t>
  </si>
  <si>
    <t>Publicity and Promotion</t>
  </si>
  <si>
    <t>SI - Music Service</t>
  </si>
  <si>
    <t>RAA - ASF Grant</t>
  </si>
  <si>
    <t>Bramhall ClientSpend</t>
  </si>
  <si>
    <t xml:space="preserve">Facilities &amp; Management Services  </t>
  </si>
  <si>
    <t>Office Expenses</t>
  </si>
  <si>
    <t>RAA Adoption Count</t>
  </si>
  <si>
    <t xml:space="preserve">Human Resources Interpretation &amp; Translation </t>
  </si>
  <si>
    <t>Incl - S.I.U - Perip</t>
  </si>
  <si>
    <t xml:space="preserve">Social Community Care Supplies &amp; Services  </t>
  </si>
  <si>
    <t>Care Payments</t>
  </si>
  <si>
    <t>Third party payments - Public Sector</t>
  </si>
  <si>
    <t>FP - Fostering Staff</t>
  </si>
  <si>
    <t xml:space="preserve">Vehicle Management Hire/Leasing </t>
  </si>
  <si>
    <t>Leasing /Transport Hire</t>
  </si>
  <si>
    <t>Mayoralty</t>
  </si>
  <si>
    <t xml:space="preserve">Financial Services Audit </t>
  </si>
  <si>
    <t>Audit &amp; Risk</t>
  </si>
  <si>
    <t>Strategy &amp; Design</t>
  </si>
  <si>
    <t>Legal - Litigation</t>
  </si>
  <si>
    <t>SC - Broadfield</t>
  </si>
  <si>
    <t>Repairs and Maintenance</t>
  </si>
  <si>
    <t>Services to Place</t>
  </si>
  <si>
    <t>StockportArt Gallery</t>
  </si>
  <si>
    <t>DP - Respite</t>
  </si>
  <si>
    <t>Other Payments</t>
  </si>
  <si>
    <t>Property Client Acct</t>
  </si>
  <si>
    <t>Supplies and services</t>
  </si>
  <si>
    <t xml:space="preserve">Facilities &amp; Management Services Printing </t>
  </si>
  <si>
    <t>Printing and Photocopying</t>
  </si>
  <si>
    <t>IT MFD</t>
  </si>
  <si>
    <t>Borough Festive Ligh</t>
  </si>
  <si>
    <t xml:space="preserve">Furniture &amp; Soft Furnishings  </t>
  </si>
  <si>
    <t>Network Assets Staff</t>
  </si>
  <si>
    <t>Regional Imp Allianc</t>
  </si>
  <si>
    <t>NW RIPP</t>
  </si>
  <si>
    <t>Building Inspection</t>
  </si>
  <si>
    <t>U-Lyme Park &amp; Hall</t>
  </si>
  <si>
    <t>Tameside Partnership</t>
  </si>
  <si>
    <t>iBCF</t>
  </si>
  <si>
    <t>Planning</t>
  </si>
  <si>
    <t>Works - Construction, Repair &amp; Maintenance Buildings Surveys</t>
  </si>
  <si>
    <t>Capital Expenditure - Fees</t>
  </si>
  <si>
    <t>Pro &amp; Prog Mgt</t>
  </si>
  <si>
    <t xml:space="preserve">Horticultural  </t>
  </si>
  <si>
    <t>Grounds Maintenance</t>
  </si>
  <si>
    <t>Play</t>
  </si>
  <si>
    <t>Parks General</t>
  </si>
  <si>
    <t xml:space="preserve">Environmental Services Graffiti Removal </t>
  </si>
  <si>
    <t>Cleaning</t>
  </si>
  <si>
    <t>Hygiene Action Clean</t>
  </si>
  <si>
    <t>Third party payments - Private/Voluntary Sector</t>
  </si>
  <si>
    <t>Holiday Activities</t>
  </si>
  <si>
    <t>Domestic Abuse</t>
  </si>
  <si>
    <t>Welfare Payments</t>
  </si>
  <si>
    <t>SS-FreeSclTrans-Pri</t>
  </si>
  <si>
    <t>SS-FreeSclTrans-Sec</t>
  </si>
  <si>
    <t>Environmental Services Waste Management</t>
  </si>
  <si>
    <t>Waste Management Equipment</t>
  </si>
  <si>
    <t>Bulk Container</t>
  </si>
  <si>
    <t>IT School</t>
  </si>
  <si>
    <t>POD Health &amp; Safety</t>
  </si>
  <si>
    <t>Crewe-Manchester RP</t>
  </si>
  <si>
    <t>South M/cr RP</t>
  </si>
  <si>
    <t xml:space="preserve">Vehicle Management  </t>
  </si>
  <si>
    <t>Driving and Vehicle Licences</t>
  </si>
  <si>
    <t>Driver Assessment</t>
  </si>
  <si>
    <t>Business Intelligenc</t>
  </si>
  <si>
    <t xml:space="preserve">Human Resources Training &amp; Conferences </t>
  </si>
  <si>
    <t>Expenses and Allowances</t>
  </si>
  <si>
    <t>Town Centre Devt Tea</t>
  </si>
  <si>
    <t>SC - NW Strategic Sa</t>
  </si>
  <si>
    <t>Bentax</t>
  </si>
  <si>
    <t>Blue Wheelie Bins</t>
  </si>
  <si>
    <t xml:space="preserve">Street &amp; Traffic Management  </t>
  </si>
  <si>
    <t>Fixtures and Fittings</t>
  </si>
  <si>
    <t>Public Realm Inspect</t>
  </si>
  <si>
    <t>Public Libraries Gen</t>
  </si>
  <si>
    <t>T.Union facilities</t>
  </si>
  <si>
    <t>Berevement Services</t>
  </si>
  <si>
    <t xml:space="preserve">Health &amp; Safety   </t>
  </si>
  <si>
    <t>I.T Business Relat</t>
  </si>
  <si>
    <t>Adults Management</t>
  </si>
  <si>
    <t>POD Core Staffing</t>
  </si>
  <si>
    <t>POD Communications</t>
  </si>
  <si>
    <t>Op Alaska</t>
  </si>
  <si>
    <t>Traded Services</t>
  </si>
  <si>
    <t>Emergency Tree Works</t>
  </si>
  <si>
    <t>Nature-Arboriculture</t>
  </si>
  <si>
    <t xml:space="preserve">Highway Equipment &amp; Materials    </t>
  </si>
  <si>
    <t>Highways Maintenance</t>
  </si>
  <si>
    <t>Car Parks Admin</t>
  </si>
  <si>
    <t>Info &amp; Governance</t>
  </si>
  <si>
    <t>Service Contract Payments</t>
  </si>
  <si>
    <t>PH-Drug &amp; Alcohol</t>
  </si>
  <si>
    <t>UK SPF</t>
  </si>
  <si>
    <t xml:space="preserve">Vehicle Management Leasing </t>
  </si>
  <si>
    <t>Local Plan Project</t>
  </si>
  <si>
    <t>SEN Incl - Psycholog</t>
  </si>
  <si>
    <t xml:space="preserve">Human Resources Temporary &amp; Agency Staff </t>
  </si>
  <si>
    <t>Agency Staff</t>
  </si>
  <si>
    <t>Car Park Maintenance</t>
  </si>
  <si>
    <t>PH-Programme Mngmt</t>
  </si>
  <si>
    <t xml:space="preserve">Financial Services  </t>
  </si>
  <si>
    <t>Dir-Directorate</t>
  </si>
  <si>
    <t>Offerton Ward</t>
  </si>
  <si>
    <t>GM Econ Inactivity</t>
  </si>
  <si>
    <t>HSF 5</t>
  </si>
  <si>
    <t>Place Partner</t>
  </si>
  <si>
    <t>PH-Lifestyles</t>
  </si>
  <si>
    <t>Ethnic Diversity srv</t>
  </si>
  <si>
    <t>EPEC Programme</t>
  </si>
  <si>
    <t>Invest in Growth</t>
  </si>
  <si>
    <t>Feasibility</t>
  </si>
  <si>
    <t>FDAC - Family D&amp;A Ct</t>
  </si>
  <si>
    <t>Aids, Equip &amp; Maint</t>
  </si>
  <si>
    <t>Com. Invest Fund</t>
  </si>
  <si>
    <t>MDC Mayoral DC</t>
  </si>
  <si>
    <t>Merseyway Shop Ctre</t>
  </si>
  <si>
    <t>RIA SEND</t>
  </si>
  <si>
    <t xml:space="preserve">Legal Services  </t>
  </si>
  <si>
    <t>Legal Fees</t>
  </si>
  <si>
    <t>Highways-Cycle Train</t>
  </si>
  <si>
    <t xml:space="preserve">Mail Services   </t>
  </si>
  <si>
    <t>Mailroom Service</t>
  </si>
  <si>
    <t>Highway Structs R+R</t>
  </si>
  <si>
    <t>Members Services</t>
  </si>
  <si>
    <t>WD-ASC SW Developmen</t>
  </si>
  <si>
    <t xml:space="preserve">Healthcare  </t>
  </si>
  <si>
    <t>SEN Specific support</t>
  </si>
  <si>
    <t>DP - CEAS</t>
  </si>
  <si>
    <t>SC - Leaving Care</t>
  </si>
  <si>
    <t>YOS Non-Staffing</t>
  </si>
  <si>
    <t>Special Project 2</t>
  </si>
  <si>
    <t>Scale &amp; Spread - NWD</t>
  </si>
  <si>
    <t>VST - PPG</t>
  </si>
  <si>
    <t xml:space="preserve">Healthcare Occupational Therapy Services </t>
  </si>
  <si>
    <t>POD Occ. Health</t>
  </si>
  <si>
    <t>The Crescent Ch Home</t>
  </si>
  <si>
    <t>SC - Dial Park</t>
  </si>
  <si>
    <t>H&amp;R Client Spend</t>
  </si>
  <si>
    <t>Electoral Registn</t>
  </si>
  <si>
    <t>Homelessness-General</t>
  </si>
  <si>
    <t>Wheelie Bins</t>
  </si>
  <si>
    <t>Town Hall Events</t>
  </si>
  <si>
    <t>Legal Services</t>
  </si>
  <si>
    <t>New Beginnings</t>
  </si>
  <si>
    <t>Cheadle Client Spend</t>
  </si>
  <si>
    <t>EY Contingency</t>
  </si>
  <si>
    <t>Special Project 11</t>
  </si>
  <si>
    <t>Contin Educ Service</t>
  </si>
  <si>
    <t>MS Design Frnwk Staf</t>
  </si>
  <si>
    <t>Highway Walls &amp; Safe</t>
  </si>
  <si>
    <t>IT Systems</t>
  </si>
  <si>
    <t>Design Frmwk Staff</t>
  </si>
  <si>
    <t>SPB - Investment Est</t>
  </si>
  <si>
    <t>A6 Marr Maintenance</t>
  </si>
  <si>
    <t>PH-Sexual Health</t>
  </si>
  <si>
    <t>Air Group</t>
  </si>
  <si>
    <t xml:space="preserve">UNCLASSIFIED  </t>
  </si>
  <si>
    <t>MISCLASSIFIED? CHECK BEFORE PUBLICATION</t>
  </si>
  <si>
    <t>Museums Learning</t>
  </si>
  <si>
    <t>Pathways to Planning</t>
  </si>
  <si>
    <t>Developer Tech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</si>
</sst>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86"/>
  <sheetViews>
    <sheetView tabSelected="1" topLeftCell="C1" workbookViewId="0">
      <selection activeCell="F1" sqref="F1:J1048576"/>
    </sheetView>
  </sheetViews>
  <sheetFormatPr defaultColWidth="9.140625" defaultRowHeight="12.75" x14ac:dyDescent="0.2"/>
  <cols>
    <col min="1" max="1" width="17.28515625" style="7" bestFit="1" customWidth="1"/>
    <col min="2" max="2" width="20.7109375" style="7" bestFit="1" customWidth="1"/>
    <col min="3" max="3" width="14.85546875" style="7" bestFit="1" customWidth="1"/>
    <col min="4" max="4" width="13.42578125" style="7" bestFit="1" customWidth="1"/>
    <col min="5" max="5" width="37.140625" style="7" bestFit="1" customWidth="1"/>
    <col min="6" max="6" width="11.7109375" style="7" bestFit="1" customWidth="1"/>
    <col min="7" max="7" width="54.85546875" style="7" bestFit="1" customWidth="1"/>
    <col min="8" max="8" width="53.7109375" style="7" bestFit="1" customWidth="1"/>
    <col min="9" max="9" width="46.28515625" style="7" bestFit="1" customWidth="1"/>
    <col min="10" max="10" width="32.85546875" style="7" bestFit="1" customWidth="1"/>
    <col min="11" max="11" width="28.42578125" style="11" customWidth="1"/>
    <col min="12" max="12" width="11.140625" style="7" bestFit="1" customWidth="1"/>
    <col min="13" max="13" width="18.85546875" style="7" bestFit="1" customWidth="1"/>
    <col min="14" max="16384" width="9.140625" style="7"/>
  </cols>
  <sheetData>
    <row r="1" spans="1:13" ht="39" thickBot="1" x14ac:dyDescent="0.25">
      <c r="A1" s="5" t="s">
        <v>604</v>
      </c>
      <c r="B1" s="6" t="s">
        <v>605</v>
      </c>
      <c r="C1" s="6" t="s">
        <v>606</v>
      </c>
      <c r="D1" s="6" t="s">
        <v>607</v>
      </c>
      <c r="E1" s="6" t="s">
        <v>608</v>
      </c>
      <c r="F1" s="6" t="s">
        <v>609</v>
      </c>
      <c r="G1" s="6" t="s">
        <v>610</v>
      </c>
      <c r="H1" s="6" t="s">
        <v>611</v>
      </c>
      <c r="I1" s="6" t="s">
        <v>612</v>
      </c>
      <c r="J1" s="6" t="s">
        <v>613</v>
      </c>
      <c r="K1" s="9" t="s">
        <v>614</v>
      </c>
      <c r="L1" s="6" t="s">
        <v>615</v>
      </c>
      <c r="M1" s="6" t="s">
        <v>616</v>
      </c>
    </row>
    <row r="2" spans="1:13" ht="15.75" x14ac:dyDescent="0.2">
      <c r="A2" s="4" t="s">
        <v>471</v>
      </c>
      <c r="B2" s="4" t="s">
        <v>541</v>
      </c>
      <c r="C2" s="4">
        <v>1</v>
      </c>
      <c r="D2" s="4">
        <v>12351</v>
      </c>
      <c r="E2" s="4" t="s">
        <v>192</v>
      </c>
      <c r="F2" s="8">
        <v>181800</v>
      </c>
      <c r="G2" s="8" t="s">
        <v>617</v>
      </c>
      <c r="H2" s="8" t="s">
        <v>618</v>
      </c>
      <c r="I2" s="3" t="s">
        <v>619</v>
      </c>
      <c r="J2" s="2" t="s">
        <v>620</v>
      </c>
      <c r="K2" s="10">
        <f>ROUND(780,2)</f>
        <v>780</v>
      </c>
      <c r="L2" s="4">
        <v>400110</v>
      </c>
      <c r="M2" s="4">
        <v>13001</v>
      </c>
    </row>
    <row r="3" spans="1:13" ht="15.75" x14ac:dyDescent="0.2">
      <c r="A3" s="4" t="s">
        <v>471</v>
      </c>
      <c r="B3" s="4" t="s">
        <v>541</v>
      </c>
      <c r="C3" s="4">
        <v>2</v>
      </c>
      <c r="D3" s="4">
        <v>12351</v>
      </c>
      <c r="E3" s="4" t="s">
        <v>192</v>
      </c>
      <c r="F3" s="8">
        <v>181800</v>
      </c>
      <c r="G3" s="8" t="s">
        <v>617</v>
      </c>
      <c r="H3" s="8" t="s">
        <v>618</v>
      </c>
      <c r="I3" s="3" t="s">
        <v>619</v>
      </c>
      <c r="J3" s="2" t="s">
        <v>620</v>
      </c>
      <c r="K3" s="10">
        <f>ROUND(150,2)</f>
        <v>150</v>
      </c>
      <c r="L3" s="4">
        <v>400110</v>
      </c>
      <c r="M3" s="4">
        <v>13001</v>
      </c>
    </row>
    <row r="4" spans="1:13" ht="15.75" x14ac:dyDescent="0.2">
      <c r="A4" s="4" t="s">
        <v>471</v>
      </c>
      <c r="B4" s="4" t="s">
        <v>541</v>
      </c>
      <c r="C4" s="4">
        <v>3</v>
      </c>
      <c r="D4" s="4">
        <v>12351</v>
      </c>
      <c r="E4" s="4" t="s">
        <v>192</v>
      </c>
      <c r="F4" s="8">
        <v>181800</v>
      </c>
      <c r="G4" s="8" t="s">
        <v>617</v>
      </c>
      <c r="H4" s="8" t="s">
        <v>618</v>
      </c>
      <c r="I4" s="3" t="s">
        <v>619</v>
      </c>
      <c r="J4" s="2" t="s">
        <v>620</v>
      </c>
      <c r="K4" s="10">
        <f>ROUND(450,2)</f>
        <v>450</v>
      </c>
      <c r="L4" s="4">
        <v>400110</v>
      </c>
      <c r="M4" s="4">
        <v>13001</v>
      </c>
    </row>
    <row r="5" spans="1:13" ht="15.75" x14ac:dyDescent="0.2">
      <c r="A5" s="4" t="s">
        <v>471</v>
      </c>
      <c r="B5" s="4" t="s">
        <v>541</v>
      </c>
      <c r="C5" s="4">
        <v>4</v>
      </c>
      <c r="D5" s="4">
        <v>12351</v>
      </c>
      <c r="E5" s="4" t="s">
        <v>192</v>
      </c>
      <c r="F5" s="8">
        <v>181800</v>
      </c>
      <c r="G5" s="8" t="s">
        <v>617</v>
      </c>
      <c r="H5" s="8" t="s">
        <v>618</v>
      </c>
      <c r="I5" s="3" t="s">
        <v>619</v>
      </c>
      <c r="J5" s="2" t="s">
        <v>620</v>
      </c>
      <c r="K5" s="10">
        <f>ROUND(5220,2)</f>
        <v>5220</v>
      </c>
      <c r="L5" s="4">
        <v>400110</v>
      </c>
      <c r="M5" s="4">
        <v>13001</v>
      </c>
    </row>
    <row r="6" spans="1:13" ht="15.75" x14ac:dyDescent="0.2">
      <c r="A6" s="4" t="s">
        <v>17</v>
      </c>
      <c r="B6" s="4" t="s">
        <v>32</v>
      </c>
      <c r="C6" s="4">
        <v>1</v>
      </c>
      <c r="D6" s="4">
        <v>12251</v>
      </c>
      <c r="E6" s="4" t="s">
        <v>33</v>
      </c>
      <c r="F6" s="8">
        <v>270000</v>
      </c>
      <c r="G6" s="8" t="s">
        <v>621</v>
      </c>
      <c r="H6" s="8" t="s">
        <v>622</v>
      </c>
      <c r="I6" s="3" t="s">
        <v>619</v>
      </c>
      <c r="J6" s="2" t="s">
        <v>623</v>
      </c>
      <c r="K6" s="10">
        <f>ROUND(995,2)</f>
        <v>995</v>
      </c>
      <c r="L6" s="4">
        <v>402002</v>
      </c>
      <c r="M6" s="4">
        <v>11324</v>
      </c>
    </row>
    <row r="7" spans="1:13" ht="15.75" x14ac:dyDescent="0.2">
      <c r="A7" s="4" t="s">
        <v>17</v>
      </c>
      <c r="B7" s="4" t="s">
        <v>32</v>
      </c>
      <c r="C7" s="4">
        <v>2</v>
      </c>
      <c r="D7" s="4">
        <v>12251</v>
      </c>
      <c r="E7" s="4" t="s">
        <v>33</v>
      </c>
      <c r="F7" s="8">
        <v>270000</v>
      </c>
      <c r="G7" s="8" t="s">
        <v>621</v>
      </c>
      <c r="H7" s="8" t="s">
        <v>622</v>
      </c>
      <c r="I7" s="3" t="s">
        <v>619</v>
      </c>
      <c r="J7" s="2" t="s">
        <v>623</v>
      </c>
      <c r="K7" s="10">
        <f>ROUND(1492.5,2)</f>
        <v>1492.5</v>
      </c>
      <c r="L7" s="4">
        <v>402002</v>
      </c>
      <c r="M7" s="4">
        <v>11324</v>
      </c>
    </row>
    <row r="8" spans="1:13" ht="15.75" x14ac:dyDescent="0.2">
      <c r="A8" s="4" t="s">
        <v>17</v>
      </c>
      <c r="B8" s="4" t="s">
        <v>32</v>
      </c>
      <c r="C8" s="4">
        <v>3</v>
      </c>
      <c r="D8" s="4">
        <v>12251</v>
      </c>
      <c r="E8" s="4" t="s">
        <v>33</v>
      </c>
      <c r="F8" s="8">
        <v>270000</v>
      </c>
      <c r="G8" s="8" t="s">
        <v>621</v>
      </c>
      <c r="H8" s="8" t="s">
        <v>622</v>
      </c>
      <c r="I8" s="3" t="s">
        <v>619</v>
      </c>
      <c r="J8" s="2" t="s">
        <v>623</v>
      </c>
      <c r="K8" s="10">
        <f>ROUND(497.5,2)</f>
        <v>497.5</v>
      </c>
      <c r="L8" s="4">
        <v>402002</v>
      </c>
      <c r="M8" s="4">
        <v>11324</v>
      </c>
    </row>
    <row r="9" spans="1:13" ht="15.75" x14ac:dyDescent="0.2">
      <c r="A9" s="4" t="s">
        <v>17</v>
      </c>
      <c r="B9" s="4" t="s">
        <v>32</v>
      </c>
      <c r="C9" s="4">
        <v>4</v>
      </c>
      <c r="D9" s="4">
        <v>12251</v>
      </c>
      <c r="E9" s="4" t="s">
        <v>33</v>
      </c>
      <c r="F9" s="8">
        <v>270000</v>
      </c>
      <c r="G9" s="8" t="s">
        <v>621</v>
      </c>
      <c r="H9" s="8" t="s">
        <v>622</v>
      </c>
      <c r="I9" s="3" t="s">
        <v>619</v>
      </c>
      <c r="J9" s="2" t="s">
        <v>623</v>
      </c>
      <c r="K9" s="10">
        <f>ROUND(995,2)</f>
        <v>995</v>
      </c>
      <c r="L9" s="4">
        <v>402002</v>
      </c>
      <c r="M9" s="4">
        <v>11324</v>
      </c>
    </row>
    <row r="10" spans="1:13" ht="15.75" x14ac:dyDescent="0.2">
      <c r="A10" s="4" t="s">
        <v>17</v>
      </c>
      <c r="B10" s="4" t="s">
        <v>32</v>
      </c>
      <c r="C10" s="4">
        <v>5</v>
      </c>
      <c r="D10" s="4">
        <v>12251</v>
      </c>
      <c r="E10" s="4" t="s">
        <v>33</v>
      </c>
      <c r="F10" s="8">
        <v>270000</v>
      </c>
      <c r="G10" s="8" t="s">
        <v>621</v>
      </c>
      <c r="H10" s="8" t="s">
        <v>622</v>
      </c>
      <c r="I10" s="3" t="s">
        <v>619</v>
      </c>
      <c r="J10" s="2" t="s">
        <v>623</v>
      </c>
      <c r="K10" s="10">
        <f>ROUND(497.5,2)</f>
        <v>497.5</v>
      </c>
      <c r="L10" s="4">
        <v>402002</v>
      </c>
      <c r="M10" s="4">
        <v>11324</v>
      </c>
    </row>
    <row r="11" spans="1:13" ht="15.75" x14ac:dyDescent="0.2">
      <c r="A11" s="4" t="s">
        <v>17</v>
      </c>
      <c r="B11" s="4" t="s">
        <v>32</v>
      </c>
      <c r="C11" s="4">
        <v>6</v>
      </c>
      <c r="D11" s="4">
        <v>12251</v>
      </c>
      <c r="E11" s="4" t="s">
        <v>33</v>
      </c>
      <c r="F11" s="8">
        <v>270000</v>
      </c>
      <c r="G11" s="8" t="s">
        <v>621</v>
      </c>
      <c r="H11" s="8" t="s">
        <v>622</v>
      </c>
      <c r="I11" s="3" t="s">
        <v>619</v>
      </c>
      <c r="J11" s="2" t="s">
        <v>623</v>
      </c>
      <c r="K11" s="10">
        <f>ROUND(497.5,2)</f>
        <v>497.5</v>
      </c>
      <c r="L11" s="4">
        <v>402002</v>
      </c>
      <c r="M11" s="4">
        <v>11324</v>
      </c>
    </row>
    <row r="12" spans="1:13" ht="15.75" x14ac:dyDescent="0.2">
      <c r="A12" s="4" t="s">
        <v>17</v>
      </c>
      <c r="B12" s="4" t="s">
        <v>32</v>
      </c>
      <c r="C12" s="4">
        <v>7</v>
      </c>
      <c r="D12" s="4">
        <v>12251</v>
      </c>
      <c r="E12" s="4" t="s">
        <v>33</v>
      </c>
      <c r="F12" s="8">
        <v>270000</v>
      </c>
      <c r="G12" s="8" t="s">
        <v>621</v>
      </c>
      <c r="H12" s="8" t="s">
        <v>622</v>
      </c>
      <c r="I12" s="3" t="s">
        <v>619</v>
      </c>
      <c r="J12" s="2" t="s">
        <v>623</v>
      </c>
      <c r="K12" s="10">
        <f>ROUND(1243.75,2)</f>
        <v>1243.75</v>
      </c>
      <c r="L12" s="4">
        <v>402002</v>
      </c>
      <c r="M12" s="4">
        <v>11324</v>
      </c>
    </row>
    <row r="13" spans="1:13" ht="15.75" x14ac:dyDescent="0.25">
      <c r="A13" s="4" t="s">
        <v>267</v>
      </c>
      <c r="B13" s="4" t="s">
        <v>365</v>
      </c>
      <c r="C13" s="4">
        <v>1</v>
      </c>
      <c r="D13" s="4">
        <v>1583</v>
      </c>
      <c r="E13" s="4" t="s">
        <v>66</v>
      </c>
      <c r="F13" s="8">
        <v>390000</v>
      </c>
      <c r="G13" s="8" t="s">
        <v>624</v>
      </c>
      <c r="H13" s="8" t="s">
        <v>625</v>
      </c>
      <c r="I13" s="1" t="s">
        <v>659</v>
      </c>
      <c r="J13" s="2" t="e">
        <v>#N/A</v>
      </c>
      <c r="K13" s="10">
        <f>ROUND(69501,2)</f>
        <v>69501</v>
      </c>
      <c r="L13" s="4">
        <v>200311</v>
      </c>
      <c r="M13" s="4" t="s">
        <v>366</v>
      </c>
    </row>
    <row r="14" spans="1:13" ht="15.75" x14ac:dyDescent="0.25">
      <c r="A14" s="4" t="s">
        <v>267</v>
      </c>
      <c r="B14" s="4" t="s">
        <v>365</v>
      </c>
      <c r="C14" s="4">
        <v>2</v>
      </c>
      <c r="D14" s="4">
        <v>1583</v>
      </c>
      <c r="E14" s="4" t="s">
        <v>66</v>
      </c>
      <c r="F14" s="8">
        <v>390000</v>
      </c>
      <c r="G14" s="8" t="s">
        <v>624</v>
      </c>
      <c r="H14" s="8" t="s">
        <v>625</v>
      </c>
      <c r="I14" s="1" t="s">
        <v>659</v>
      </c>
      <c r="J14" s="2" t="e">
        <v>#N/A</v>
      </c>
      <c r="K14" s="10">
        <f>ROUND(101227.84,2)</f>
        <v>101227.84</v>
      </c>
      <c r="L14" s="4">
        <v>200311</v>
      </c>
      <c r="M14" s="4" t="s">
        <v>366</v>
      </c>
    </row>
    <row r="15" spans="1:13" ht="15.75" x14ac:dyDescent="0.25">
      <c r="A15" s="4" t="s">
        <v>267</v>
      </c>
      <c r="B15" s="4" t="s">
        <v>365</v>
      </c>
      <c r="C15" s="4">
        <v>3</v>
      </c>
      <c r="D15" s="4">
        <v>1583</v>
      </c>
      <c r="E15" s="4" t="s">
        <v>66</v>
      </c>
      <c r="F15" s="8">
        <v>390000</v>
      </c>
      <c r="G15" s="8" t="s">
        <v>624</v>
      </c>
      <c r="H15" s="8" t="s">
        <v>625</v>
      </c>
      <c r="I15" s="1" t="s">
        <v>659</v>
      </c>
      <c r="J15" s="2" t="e">
        <v>#N/A</v>
      </c>
      <c r="K15" s="10">
        <f>ROUND(74565.12,2)</f>
        <v>74565.119999999995</v>
      </c>
      <c r="L15" s="4">
        <v>200311</v>
      </c>
      <c r="M15" s="4" t="s">
        <v>366</v>
      </c>
    </row>
    <row r="16" spans="1:13" ht="15.75" x14ac:dyDescent="0.25">
      <c r="A16" s="4" t="s">
        <v>267</v>
      </c>
      <c r="B16" s="4" t="s">
        <v>365</v>
      </c>
      <c r="C16" s="4">
        <v>4</v>
      </c>
      <c r="D16" s="4">
        <v>1583</v>
      </c>
      <c r="E16" s="4" t="s">
        <v>66</v>
      </c>
      <c r="F16" s="8">
        <v>390000</v>
      </c>
      <c r="G16" s="8" t="s">
        <v>624</v>
      </c>
      <c r="H16" s="8" t="s">
        <v>625</v>
      </c>
      <c r="I16" s="1" t="s">
        <v>659</v>
      </c>
      <c r="J16" s="2" t="e">
        <v>#N/A</v>
      </c>
      <c r="K16" s="10">
        <f>ROUND(85799.88,2)</f>
        <v>85799.88</v>
      </c>
      <c r="L16" s="4">
        <v>200311</v>
      </c>
      <c r="M16" s="4" t="s">
        <v>366</v>
      </c>
    </row>
    <row r="17" spans="1:13" ht="15.75" x14ac:dyDescent="0.25">
      <c r="A17" s="4" t="s">
        <v>467</v>
      </c>
      <c r="B17" s="4" t="s">
        <v>485</v>
      </c>
      <c r="C17" s="4">
        <v>1</v>
      </c>
      <c r="D17" s="4">
        <v>5751</v>
      </c>
      <c r="E17" s="4" t="s">
        <v>486</v>
      </c>
      <c r="F17" s="8">
        <v>270000</v>
      </c>
      <c r="G17" s="8" t="s">
        <v>621</v>
      </c>
      <c r="H17" s="8" t="s">
        <v>622</v>
      </c>
      <c r="I17" s="1" t="s">
        <v>659</v>
      </c>
      <c r="J17" s="2" t="e">
        <v>#N/A</v>
      </c>
      <c r="K17" s="10">
        <f>ROUND(39120,2)</f>
        <v>39120</v>
      </c>
      <c r="L17" s="4">
        <v>402003</v>
      </c>
      <c r="M17" s="4" t="s">
        <v>447</v>
      </c>
    </row>
    <row r="18" spans="1:13" ht="15.75" x14ac:dyDescent="0.2">
      <c r="A18" s="4" t="s">
        <v>21</v>
      </c>
      <c r="B18" s="4" t="s">
        <v>102</v>
      </c>
      <c r="C18" s="4">
        <v>1</v>
      </c>
      <c r="D18" s="4">
        <v>12937</v>
      </c>
      <c r="E18" s="4" t="s">
        <v>103</v>
      </c>
      <c r="F18" s="8">
        <v>170000</v>
      </c>
      <c r="G18" s="8" t="s">
        <v>626</v>
      </c>
      <c r="H18" s="8" t="s">
        <v>627</v>
      </c>
      <c r="I18" s="3" t="s">
        <v>628</v>
      </c>
      <c r="J18" s="2" t="s">
        <v>629</v>
      </c>
      <c r="K18" s="10">
        <f>ROUND(7000,2)</f>
        <v>7000</v>
      </c>
      <c r="L18" s="4">
        <v>401033</v>
      </c>
      <c r="M18" s="4">
        <v>10329</v>
      </c>
    </row>
    <row r="19" spans="1:13" ht="15.75" x14ac:dyDescent="0.2">
      <c r="A19" s="4" t="s">
        <v>171</v>
      </c>
      <c r="B19" s="4" t="s">
        <v>301</v>
      </c>
      <c r="C19" s="4">
        <v>1</v>
      </c>
      <c r="D19" s="4">
        <v>13430</v>
      </c>
      <c r="E19" s="4" t="s">
        <v>86</v>
      </c>
      <c r="F19" s="8">
        <v>260000</v>
      </c>
      <c r="G19" s="8" t="s">
        <v>630</v>
      </c>
      <c r="H19" s="8" t="s">
        <v>631</v>
      </c>
      <c r="I19" s="3" t="s">
        <v>628</v>
      </c>
      <c r="J19" s="2" t="s">
        <v>629</v>
      </c>
      <c r="K19" s="10">
        <f>ROUND(6274,2)</f>
        <v>6274</v>
      </c>
      <c r="L19" s="4">
        <v>102020</v>
      </c>
      <c r="M19" s="4">
        <v>10329</v>
      </c>
    </row>
    <row r="20" spans="1:13" ht="15.75" x14ac:dyDescent="0.2">
      <c r="A20" s="4" t="s">
        <v>41</v>
      </c>
      <c r="B20" s="4" t="s">
        <v>318</v>
      </c>
      <c r="C20" s="4">
        <v>1</v>
      </c>
      <c r="D20" s="4">
        <v>14568</v>
      </c>
      <c r="E20" s="4" t="s">
        <v>319</v>
      </c>
      <c r="F20" s="8">
        <v>150000</v>
      </c>
      <c r="G20" s="8" t="s">
        <v>632</v>
      </c>
      <c r="H20" s="8" t="s">
        <v>633</v>
      </c>
      <c r="I20" s="3" t="s">
        <v>628</v>
      </c>
      <c r="J20" s="2" t="s">
        <v>629</v>
      </c>
      <c r="K20" s="10">
        <f>ROUND(5059.64,2)</f>
        <v>5059.6400000000003</v>
      </c>
      <c r="L20" s="4">
        <v>401020</v>
      </c>
      <c r="M20" s="4">
        <v>10329</v>
      </c>
    </row>
    <row r="21" spans="1:13" ht="15.75" x14ac:dyDescent="0.2">
      <c r="A21" s="4" t="s">
        <v>341</v>
      </c>
      <c r="B21" s="4" t="s">
        <v>499</v>
      </c>
      <c r="C21" s="4">
        <v>1</v>
      </c>
      <c r="D21" s="4">
        <v>15012</v>
      </c>
      <c r="E21" s="4" t="s">
        <v>500</v>
      </c>
      <c r="F21" s="8">
        <v>202000</v>
      </c>
      <c r="G21" s="8" t="s">
        <v>634</v>
      </c>
      <c r="H21" s="8" t="s">
        <v>635</v>
      </c>
      <c r="I21" s="3" t="s">
        <v>628</v>
      </c>
      <c r="J21" s="2" t="s">
        <v>629</v>
      </c>
      <c r="K21" s="10">
        <f>ROUND(18191,2)</f>
        <v>18191</v>
      </c>
      <c r="L21" s="4">
        <v>200703</v>
      </c>
      <c r="M21" s="4">
        <v>10329</v>
      </c>
    </row>
    <row r="22" spans="1:13" ht="15.75" x14ac:dyDescent="0.2">
      <c r="A22" s="4" t="s">
        <v>6</v>
      </c>
      <c r="B22" s="4" t="s">
        <v>89</v>
      </c>
      <c r="C22" s="4">
        <v>1</v>
      </c>
      <c r="D22" s="4">
        <v>7002</v>
      </c>
      <c r="E22" s="4" t="s">
        <v>90</v>
      </c>
      <c r="F22" s="8">
        <v>290000</v>
      </c>
      <c r="G22" s="8" t="s">
        <v>636</v>
      </c>
      <c r="H22" s="8" t="s">
        <v>637</v>
      </c>
      <c r="I22" s="3" t="s">
        <v>628</v>
      </c>
      <c r="J22" s="2" t="s">
        <v>638</v>
      </c>
      <c r="K22" s="10">
        <f>ROUND(13500,2)</f>
        <v>13500</v>
      </c>
      <c r="L22" s="4">
        <v>401801</v>
      </c>
      <c r="M22" s="4">
        <v>10417</v>
      </c>
    </row>
    <row r="23" spans="1:13" ht="15.75" x14ac:dyDescent="0.2">
      <c r="A23" s="4" t="s">
        <v>13</v>
      </c>
      <c r="B23" s="4" t="s">
        <v>26</v>
      </c>
      <c r="C23" s="4">
        <v>1</v>
      </c>
      <c r="D23" s="4">
        <v>12646</v>
      </c>
      <c r="E23" s="4" t="s">
        <v>27</v>
      </c>
      <c r="F23" s="8">
        <v>999999</v>
      </c>
      <c r="G23" s="8" t="s">
        <v>627</v>
      </c>
      <c r="H23" s="8" t="s">
        <v>627</v>
      </c>
      <c r="I23" s="3" t="s">
        <v>628</v>
      </c>
      <c r="J23" s="2" t="s">
        <v>639</v>
      </c>
      <c r="K23" s="10">
        <f>ROUND(5980,2)</f>
        <v>5980</v>
      </c>
      <c r="L23" s="4">
        <v>401035</v>
      </c>
      <c r="M23" s="4">
        <v>12968</v>
      </c>
    </row>
    <row r="24" spans="1:13" ht="15.75" x14ac:dyDescent="0.2">
      <c r="A24" s="4" t="s">
        <v>13</v>
      </c>
      <c r="B24" s="4" t="s">
        <v>12</v>
      </c>
      <c r="C24" s="4">
        <v>1</v>
      </c>
      <c r="D24" s="4">
        <v>11824</v>
      </c>
      <c r="E24" s="4" t="s">
        <v>14</v>
      </c>
      <c r="F24" s="8">
        <v>150000</v>
      </c>
      <c r="G24" s="8" t="s">
        <v>632</v>
      </c>
      <c r="H24" s="8" t="s">
        <v>633</v>
      </c>
      <c r="I24" s="3" t="s">
        <v>628</v>
      </c>
      <c r="J24" s="2" t="s">
        <v>640</v>
      </c>
      <c r="K24" s="10">
        <f>ROUND(6891.87,2)</f>
        <v>6891.87</v>
      </c>
      <c r="L24" s="4">
        <v>401020</v>
      </c>
      <c r="M24" s="4">
        <v>13144</v>
      </c>
    </row>
    <row r="25" spans="1:13" ht="15.75" x14ac:dyDescent="0.2">
      <c r="A25" s="4" t="s">
        <v>5</v>
      </c>
      <c r="B25" s="4" t="s">
        <v>111</v>
      </c>
      <c r="C25" s="4">
        <v>1</v>
      </c>
      <c r="D25" s="4">
        <v>5953</v>
      </c>
      <c r="E25" s="4" t="s">
        <v>112</v>
      </c>
      <c r="F25" s="8">
        <v>190000</v>
      </c>
      <c r="G25" s="8" t="s">
        <v>641</v>
      </c>
      <c r="H25" s="8" t="s">
        <v>642</v>
      </c>
      <c r="I25" s="3" t="s">
        <v>628</v>
      </c>
      <c r="J25" s="2" t="s">
        <v>643</v>
      </c>
      <c r="K25" s="10">
        <f>ROUND(12420,2)</f>
        <v>12420</v>
      </c>
      <c r="L25" s="4">
        <v>400705</v>
      </c>
      <c r="M25" s="4">
        <v>12957</v>
      </c>
    </row>
    <row r="26" spans="1:13" ht="15.75" x14ac:dyDescent="0.2">
      <c r="A26" s="4" t="s">
        <v>5</v>
      </c>
      <c r="B26" s="4" t="s">
        <v>116</v>
      </c>
      <c r="C26" s="4">
        <v>1</v>
      </c>
      <c r="D26" s="4">
        <v>16934</v>
      </c>
      <c r="E26" s="4" t="s">
        <v>117</v>
      </c>
      <c r="F26" s="8">
        <v>190000</v>
      </c>
      <c r="G26" s="8" t="s">
        <v>641</v>
      </c>
      <c r="H26" s="8" t="s">
        <v>642</v>
      </c>
      <c r="I26" s="3" t="s">
        <v>628</v>
      </c>
      <c r="J26" s="2" t="s">
        <v>643</v>
      </c>
      <c r="K26" s="10">
        <f>ROUND(5000,2)</f>
        <v>5000</v>
      </c>
      <c r="L26" s="4">
        <v>400700</v>
      </c>
      <c r="M26" s="4">
        <v>12957</v>
      </c>
    </row>
    <row r="27" spans="1:13" ht="15.75" x14ac:dyDescent="0.2">
      <c r="A27" s="4" t="s">
        <v>10</v>
      </c>
      <c r="B27" s="4" t="s">
        <v>126</v>
      </c>
      <c r="C27" s="4">
        <v>1</v>
      </c>
      <c r="D27" s="4">
        <v>5555</v>
      </c>
      <c r="E27" s="4" t="s">
        <v>127</v>
      </c>
      <c r="F27" s="8">
        <v>261100</v>
      </c>
      <c r="G27" s="8" t="s">
        <v>644</v>
      </c>
      <c r="H27" s="8" t="s">
        <v>633</v>
      </c>
      <c r="I27" s="3" t="s">
        <v>628</v>
      </c>
      <c r="J27" s="2" t="s">
        <v>645</v>
      </c>
      <c r="K27" s="10">
        <f>ROUND(6911,2)</f>
        <v>6911</v>
      </c>
      <c r="L27" s="4">
        <v>401023</v>
      </c>
      <c r="M27" s="4">
        <v>10307</v>
      </c>
    </row>
    <row r="28" spans="1:13" ht="15.75" x14ac:dyDescent="0.2">
      <c r="A28" s="4" t="s">
        <v>10</v>
      </c>
      <c r="B28" s="4" t="s">
        <v>126</v>
      </c>
      <c r="C28" s="4">
        <v>2</v>
      </c>
      <c r="D28" s="4">
        <v>5555</v>
      </c>
      <c r="E28" s="4" t="s">
        <v>127</v>
      </c>
      <c r="F28" s="8">
        <v>261100</v>
      </c>
      <c r="G28" s="8" t="s">
        <v>644</v>
      </c>
      <c r="H28" s="8" t="s">
        <v>633</v>
      </c>
      <c r="I28" s="3" t="s">
        <v>628</v>
      </c>
      <c r="J28" s="2" t="s">
        <v>645</v>
      </c>
      <c r="K28" s="10">
        <f>ROUND(323.14,2)</f>
        <v>323.14</v>
      </c>
      <c r="L28" s="4">
        <v>401023</v>
      </c>
      <c r="M28" s="4">
        <v>10307</v>
      </c>
    </row>
    <row r="29" spans="1:13" ht="15.75" x14ac:dyDescent="0.2">
      <c r="A29" s="4" t="s">
        <v>10</v>
      </c>
      <c r="B29" s="4" t="s">
        <v>128</v>
      </c>
      <c r="C29" s="4">
        <v>1</v>
      </c>
      <c r="D29" s="4">
        <v>5555</v>
      </c>
      <c r="E29" s="4" t="s">
        <v>127</v>
      </c>
      <c r="F29" s="8">
        <v>261100</v>
      </c>
      <c r="G29" s="8" t="s">
        <v>644</v>
      </c>
      <c r="H29" s="8" t="s">
        <v>633</v>
      </c>
      <c r="I29" s="3" t="s">
        <v>628</v>
      </c>
      <c r="J29" s="2" t="s">
        <v>645</v>
      </c>
      <c r="K29" s="10">
        <f>ROUND(5806,2)</f>
        <v>5806</v>
      </c>
      <c r="L29" s="4">
        <v>401023</v>
      </c>
      <c r="M29" s="4">
        <v>10307</v>
      </c>
    </row>
    <row r="30" spans="1:13" ht="15.75" x14ac:dyDescent="0.2">
      <c r="A30" s="4" t="s">
        <v>10</v>
      </c>
      <c r="B30" s="4" t="s">
        <v>128</v>
      </c>
      <c r="C30" s="4">
        <v>2</v>
      </c>
      <c r="D30" s="4">
        <v>5555</v>
      </c>
      <c r="E30" s="4" t="s">
        <v>127</v>
      </c>
      <c r="F30" s="8">
        <v>261100</v>
      </c>
      <c r="G30" s="8" t="s">
        <v>644</v>
      </c>
      <c r="H30" s="8" t="s">
        <v>633</v>
      </c>
      <c r="I30" s="3" t="s">
        <v>628</v>
      </c>
      <c r="J30" s="2" t="s">
        <v>645</v>
      </c>
      <c r="K30" s="10">
        <f>ROUND(155.75,2)</f>
        <v>155.75</v>
      </c>
      <c r="L30" s="4">
        <v>401023</v>
      </c>
      <c r="M30" s="4">
        <v>10307</v>
      </c>
    </row>
    <row r="31" spans="1:13" ht="15.75" x14ac:dyDescent="0.2">
      <c r="A31" s="4" t="s">
        <v>45</v>
      </c>
      <c r="B31" s="4" t="s">
        <v>210</v>
      </c>
      <c r="C31" s="4">
        <v>1</v>
      </c>
      <c r="D31" s="4">
        <v>16946</v>
      </c>
      <c r="E31" s="4" t="s">
        <v>211</v>
      </c>
      <c r="F31" s="8">
        <v>320000</v>
      </c>
      <c r="G31" s="8" t="s">
        <v>646</v>
      </c>
      <c r="H31" s="8" t="s">
        <v>647</v>
      </c>
      <c r="I31" s="3" t="s">
        <v>628</v>
      </c>
      <c r="J31" s="2" t="s">
        <v>643</v>
      </c>
      <c r="K31" s="10">
        <f>ROUND(27000,2)</f>
        <v>27000</v>
      </c>
      <c r="L31" s="4">
        <v>530306</v>
      </c>
      <c r="M31" s="4">
        <v>12957</v>
      </c>
    </row>
    <row r="32" spans="1:13" ht="15.75" x14ac:dyDescent="0.2">
      <c r="A32" s="4" t="s">
        <v>18</v>
      </c>
      <c r="B32" s="4" t="s">
        <v>269</v>
      </c>
      <c r="C32" s="4">
        <v>1</v>
      </c>
      <c r="D32" s="4">
        <v>13084</v>
      </c>
      <c r="E32" s="4" t="s">
        <v>270</v>
      </c>
      <c r="F32" s="8">
        <v>320000</v>
      </c>
      <c r="G32" s="8" t="s">
        <v>646</v>
      </c>
      <c r="H32" s="8" t="s">
        <v>647</v>
      </c>
      <c r="I32" s="3" t="s">
        <v>628</v>
      </c>
      <c r="J32" s="2" t="s">
        <v>643</v>
      </c>
      <c r="K32" s="10">
        <f>ROUND(43169.5,2)</f>
        <v>43169.5</v>
      </c>
      <c r="L32" s="4">
        <v>530306</v>
      </c>
      <c r="M32" s="4">
        <v>12957</v>
      </c>
    </row>
    <row r="33" spans="1:13" ht="15.75" x14ac:dyDescent="0.2">
      <c r="A33" s="4" t="s">
        <v>18</v>
      </c>
      <c r="B33" s="4" t="s">
        <v>276</v>
      </c>
      <c r="C33" s="4">
        <v>1</v>
      </c>
      <c r="D33" s="4">
        <v>8766</v>
      </c>
      <c r="E33" s="4" t="s">
        <v>277</v>
      </c>
      <c r="F33" s="8">
        <v>999999</v>
      </c>
      <c r="G33" s="8" t="s">
        <v>627</v>
      </c>
      <c r="H33" s="8" t="s">
        <v>627</v>
      </c>
      <c r="I33" s="3" t="s">
        <v>628</v>
      </c>
      <c r="J33" s="2" t="s">
        <v>639</v>
      </c>
      <c r="K33" s="10">
        <f>ROUND(2999.85,2)</f>
        <v>2999.85</v>
      </c>
      <c r="L33" s="4">
        <v>401035</v>
      </c>
      <c r="M33" s="4">
        <v>12968</v>
      </c>
    </row>
    <row r="34" spans="1:13" ht="15.75" x14ac:dyDescent="0.2">
      <c r="A34" s="4" t="s">
        <v>18</v>
      </c>
      <c r="B34" s="4" t="s">
        <v>276</v>
      </c>
      <c r="C34" s="4">
        <v>2</v>
      </c>
      <c r="D34" s="4">
        <v>8766</v>
      </c>
      <c r="E34" s="4" t="s">
        <v>277</v>
      </c>
      <c r="F34" s="8">
        <v>999999</v>
      </c>
      <c r="G34" s="8" t="s">
        <v>627</v>
      </c>
      <c r="H34" s="8" t="s">
        <v>627</v>
      </c>
      <c r="I34" s="3" t="s">
        <v>628</v>
      </c>
      <c r="J34" s="2" t="s">
        <v>639</v>
      </c>
      <c r="K34" s="10">
        <f>ROUND(2986.1,2)</f>
        <v>2986.1</v>
      </c>
      <c r="L34" s="4">
        <v>401035</v>
      </c>
      <c r="M34" s="4">
        <v>12968</v>
      </c>
    </row>
    <row r="35" spans="1:13" ht="15.75" x14ac:dyDescent="0.2">
      <c r="A35" s="4" t="s">
        <v>171</v>
      </c>
      <c r="B35" s="4" t="s">
        <v>298</v>
      </c>
      <c r="C35" s="4">
        <v>1</v>
      </c>
      <c r="D35" s="4">
        <v>11824</v>
      </c>
      <c r="E35" s="4" t="s">
        <v>14</v>
      </c>
      <c r="F35" s="8">
        <v>150000</v>
      </c>
      <c r="G35" s="8" t="s">
        <v>632</v>
      </c>
      <c r="H35" s="8" t="s">
        <v>633</v>
      </c>
      <c r="I35" s="3" t="s">
        <v>628</v>
      </c>
      <c r="J35" s="2" t="s">
        <v>640</v>
      </c>
      <c r="K35" s="10">
        <f>ROUND(40000,2)</f>
        <v>40000</v>
      </c>
      <c r="L35" s="4">
        <v>401020</v>
      </c>
      <c r="M35" s="4">
        <v>13144</v>
      </c>
    </row>
    <row r="36" spans="1:13" ht="15.75" x14ac:dyDescent="0.2">
      <c r="A36" s="4" t="s">
        <v>3</v>
      </c>
      <c r="B36" s="4" t="s">
        <v>320</v>
      </c>
      <c r="C36" s="4">
        <v>1</v>
      </c>
      <c r="D36" s="4">
        <v>12298</v>
      </c>
      <c r="E36" s="4" t="s">
        <v>321</v>
      </c>
      <c r="F36" s="8">
        <v>999999</v>
      </c>
      <c r="G36" s="8" t="s">
        <v>627</v>
      </c>
      <c r="H36" s="8" t="s">
        <v>627</v>
      </c>
      <c r="I36" s="3" t="s">
        <v>628</v>
      </c>
      <c r="J36" s="2" t="s">
        <v>639</v>
      </c>
      <c r="K36" s="10">
        <f>ROUND(2253,2)</f>
        <v>2253</v>
      </c>
      <c r="L36" s="4">
        <v>401035</v>
      </c>
      <c r="M36" s="4">
        <v>12968</v>
      </c>
    </row>
    <row r="37" spans="1:13" ht="15.75" x14ac:dyDescent="0.2">
      <c r="A37" s="4" t="s">
        <v>3</v>
      </c>
      <c r="B37" s="4" t="s">
        <v>320</v>
      </c>
      <c r="C37" s="4">
        <v>2</v>
      </c>
      <c r="D37" s="4">
        <v>12298</v>
      </c>
      <c r="E37" s="4" t="s">
        <v>321</v>
      </c>
      <c r="F37" s="8">
        <v>999999</v>
      </c>
      <c r="G37" s="8" t="s">
        <v>627</v>
      </c>
      <c r="H37" s="8" t="s">
        <v>627</v>
      </c>
      <c r="I37" s="3" t="s">
        <v>628</v>
      </c>
      <c r="J37" s="2" t="s">
        <v>639</v>
      </c>
      <c r="K37" s="10">
        <f>ROUND(3000,2)</f>
        <v>3000</v>
      </c>
      <c r="L37" s="4">
        <v>401035</v>
      </c>
      <c r="M37" s="4">
        <v>12968</v>
      </c>
    </row>
    <row r="38" spans="1:13" ht="15.75" x14ac:dyDescent="0.2">
      <c r="A38" s="4" t="s">
        <v>311</v>
      </c>
      <c r="B38" s="4" t="s">
        <v>369</v>
      </c>
      <c r="C38" s="4">
        <v>1</v>
      </c>
      <c r="D38" s="4">
        <v>5555</v>
      </c>
      <c r="E38" s="4" t="s">
        <v>127</v>
      </c>
      <c r="F38" s="8">
        <v>261100</v>
      </c>
      <c r="G38" s="8" t="s">
        <v>644</v>
      </c>
      <c r="H38" s="8" t="s">
        <v>633</v>
      </c>
      <c r="I38" s="3" t="s">
        <v>628</v>
      </c>
      <c r="J38" s="2" t="s">
        <v>645</v>
      </c>
      <c r="K38" s="10">
        <f>ROUND(6336,2)</f>
        <v>6336</v>
      </c>
      <c r="L38" s="4">
        <v>401023</v>
      </c>
      <c r="M38" s="4">
        <v>10307</v>
      </c>
    </row>
    <row r="39" spans="1:13" ht="15.75" x14ac:dyDescent="0.2">
      <c r="A39" s="4" t="s">
        <v>311</v>
      </c>
      <c r="B39" s="4" t="s">
        <v>369</v>
      </c>
      <c r="C39" s="4">
        <v>2</v>
      </c>
      <c r="D39" s="4">
        <v>5555</v>
      </c>
      <c r="E39" s="4" t="s">
        <v>127</v>
      </c>
      <c r="F39" s="8">
        <v>261100</v>
      </c>
      <c r="G39" s="8" t="s">
        <v>644</v>
      </c>
      <c r="H39" s="8" t="s">
        <v>633</v>
      </c>
      <c r="I39" s="3" t="s">
        <v>628</v>
      </c>
      <c r="J39" s="2" t="s">
        <v>645</v>
      </c>
      <c r="K39" s="10">
        <f>ROUND(190.81,2)</f>
        <v>190.81</v>
      </c>
      <c r="L39" s="4">
        <v>401023</v>
      </c>
      <c r="M39" s="4">
        <v>10307</v>
      </c>
    </row>
    <row r="40" spans="1:13" ht="15.75" x14ac:dyDescent="0.2">
      <c r="A40" s="4" t="s">
        <v>119</v>
      </c>
      <c r="B40" s="4" t="s">
        <v>338</v>
      </c>
      <c r="C40" s="4">
        <v>1</v>
      </c>
      <c r="D40" s="4">
        <v>16961</v>
      </c>
      <c r="E40" s="4" t="s">
        <v>339</v>
      </c>
      <c r="F40" s="8">
        <v>320000</v>
      </c>
      <c r="G40" s="8" t="s">
        <v>646</v>
      </c>
      <c r="H40" s="8" t="s">
        <v>647</v>
      </c>
      <c r="I40" s="3" t="s">
        <v>628</v>
      </c>
      <c r="J40" s="2" t="s">
        <v>640</v>
      </c>
      <c r="K40" s="10">
        <f>ROUND(8200,2)</f>
        <v>8200</v>
      </c>
      <c r="L40" s="4">
        <v>530302</v>
      </c>
      <c r="M40" s="4">
        <v>13144</v>
      </c>
    </row>
    <row r="41" spans="1:13" ht="15.75" x14ac:dyDescent="0.2">
      <c r="A41" s="4" t="s">
        <v>229</v>
      </c>
      <c r="B41" s="4" t="s">
        <v>465</v>
      </c>
      <c r="C41" s="4">
        <v>1</v>
      </c>
      <c r="D41" s="4">
        <v>17002</v>
      </c>
      <c r="E41" s="4" t="s">
        <v>466</v>
      </c>
      <c r="F41" s="8">
        <v>999999</v>
      </c>
      <c r="G41" s="8" t="s">
        <v>627</v>
      </c>
      <c r="H41" s="8" t="s">
        <v>627</v>
      </c>
      <c r="I41" s="3" t="s">
        <v>628</v>
      </c>
      <c r="J41" s="2" t="s">
        <v>639</v>
      </c>
      <c r="K41" s="10">
        <f>ROUND(3000,2)</f>
        <v>3000</v>
      </c>
      <c r="L41" s="4">
        <v>401035</v>
      </c>
      <c r="M41" s="4">
        <v>12968</v>
      </c>
    </row>
    <row r="42" spans="1:13" ht="15.75" x14ac:dyDescent="0.2">
      <c r="A42" s="4" t="s">
        <v>229</v>
      </c>
      <c r="B42" s="4" t="s">
        <v>465</v>
      </c>
      <c r="C42" s="4">
        <v>2</v>
      </c>
      <c r="D42" s="4">
        <v>17002</v>
      </c>
      <c r="E42" s="4" t="s">
        <v>466</v>
      </c>
      <c r="F42" s="8">
        <v>999999</v>
      </c>
      <c r="G42" s="8" t="s">
        <v>627</v>
      </c>
      <c r="H42" s="8" t="s">
        <v>627</v>
      </c>
      <c r="I42" s="3" t="s">
        <v>628</v>
      </c>
      <c r="J42" s="2" t="s">
        <v>639</v>
      </c>
      <c r="K42" s="10">
        <f>ROUND(2933.5,2)</f>
        <v>2933.5</v>
      </c>
      <c r="L42" s="4">
        <v>401035</v>
      </c>
      <c r="M42" s="4">
        <v>12968</v>
      </c>
    </row>
    <row r="43" spans="1:13" ht="15.75" x14ac:dyDescent="0.2">
      <c r="A43" s="4" t="s">
        <v>467</v>
      </c>
      <c r="B43" s="4" t="s">
        <v>483</v>
      </c>
      <c r="C43" s="4">
        <v>1</v>
      </c>
      <c r="D43" s="4">
        <v>837</v>
      </c>
      <c r="E43" s="4" t="s">
        <v>484</v>
      </c>
      <c r="F43" s="8">
        <v>320000</v>
      </c>
      <c r="G43" s="8" t="s">
        <v>646</v>
      </c>
      <c r="H43" s="8" t="s">
        <v>647</v>
      </c>
      <c r="I43" s="3" t="s">
        <v>628</v>
      </c>
      <c r="J43" s="2" t="s">
        <v>643</v>
      </c>
      <c r="K43" s="10">
        <f>ROUND(27000,2)</f>
        <v>27000</v>
      </c>
      <c r="L43" s="4">
        <v>530306</v>
      </c>
      <c r="M43" s="4">
        <v>12957</v>
      </c>
    </row>
    <row r="44" spans="1:13" ht="15.75" x14ac:dyDescent="0.2">
      <c r="A44" s="4" t="s">
        <v>455</v>
      </c>
      <c r="B44" s="4" t="s">
        <v>489</v>
      </c>
      <c r="C44" s="4">
        <v>1</v>
      </c>
      <c r="D44" s="4">
        <v>11242</v>
      </c>
      <c r="E44" s="4" t="s">
        <v>254</v>
      </c>
      <c r="F44" s="8">
        <v>999999</v>
      </c>
      <c r="G44" s="8" t="s">
        <v>627</v>
      </c>
      <c r="H44" s="8" t="s">
        <v>627</v>
      </c>
      <c r="I44" s="3" t="s">
        <v>628</v>
      </c>
      <c r="J44" s="2" t="s">
        <v>639</v>
      </c>
      <c r="K44" s="10">
        <f>ROUND(9975,2)</f>
        <v>9975</v>
      </c>
      <c r="L44" s="4">
        <v>401035</v>
      </c>
      <c r="M44" s="4">
        <v>12968</v>
      </c>
    </row>
    <row r="45" spans="1:13" ht="15.75" x14ac:dyDescent="0.2">
      <c r="A45" s="4" t="s">
        <v>455</v>
      </c>
      <c r="B45" s="4" t="s">
        <v>490</v>
      </c>
      <c r="C45" s="4">
        <v>1</v>
      </c>
      <c r="D45" s="4">
        <v>12706</v>
      </c>
      <c r="E45" s="4" t="s">
        <v>393</v>
      </c>
      <c r="F45" s="8">
        <v>999999</v>
      </c>
      <c r="G45" s="8" t="s">
        <v>627</v>
      </c>
      <c r="H45" s="8" t="s">
        <v>627</v>
      </c>
      <c r="I45" s="3" t="s">
        <v>628</v>
      </c>
      <c r="J45" s="2" t="s">
        <v>639</v>
      </c>
      <c r="K45" s="10">
        <f>ROUND(2878.76,2)</f>
        <v>2878.76</v>
      </c>
      <c r="L45" s="4">
        <v>401035</v>
      </c>
      <c r="M45" s="4">
        <v>12968</v>
      </c>
    </row>
    <row r="46" spans="1:13" ht="15.75" x14ac:dyDescent="0.2">
      <c r="A46" s="4" t="s">
        <v>455</v>
      </c>
      <c r="B46" s="4" t="s">
        <v>490</v>
      </c>
      <c r="C46" s="4">
        <v>2</v>
      </c>
      <c r="D46" s="4">
        <v>12706</v>
      </c>
      <c r="E46" s="4" t="s">
        <v>393</v>
      </c>
      <c r="F46" s="8">
        <v>999999</v>
      </c>
      <c r="G46" s="8" t="s">
        <v>627</v>
      </c>
      <c r="H46" s="8" t="s">
        <v>627</v>
      </c>
      <c r="I46" s="3" t="s">
        <v>628</v>
      </c>
      <c r="J46" s="2" t="s">
        <v>639</v>
      </c>
      <c r="K46" s="10">
        <f>ROUND(2368.56,2)</f>
        <v>2368.56</v>
      </c>
      <c r="L46" s="4">
        <v>401035</v>
      </c>
      <c r="M46" s="4">
        <v>12968</v>
      </c>
    </row>
    <row r="47" spans="1:13" ht="15.75" x14ac:dyDescent="0.2">
      <c r="A47" s="4" t="s">
        <v>451</v>
      </c>
      <c r="B47" s="4" t="s">
        <v>509</v>
      </c>
      <c r="C47" s="4">
        <v>1</v>
      </c>
      <c r="D47" s="4">
        <v>17018</v>
      </c>
      <c r="E47" s="4" t="s">
        <v>510</v>
      </c>
      <c r="F47" s="8">
        <v>999999</v>
      </c>
      <c r="G47" s="8" t="s">
        <v>627</v>
      </c>
      <c r="H47" s="8" t="s">
        <v>627</v>
      </c>
      <c r="I47" s="3" t="s">
        <v>628</v>
      </c>
      <c r="J47" s="2" t="s">
        <v>638</v>
      </c>
      <c r="K47" s="10">
        <f>ROUND(5040,2)</f>
        <v>5040</v>
      </c>
      <c r="L47" s="4">
        <v>401035</v>
      </c>
      <c r="M47" s="4">
        <v>10417</v>
      </c>
    </row>
    <row r="48" spans="1:13" ht="15.75" x14ac:dyDescent="0.2">
      <c r="A48" s="4" t="s">
        <v>470</v>
      </c>
      <c r="B48" s="4" t="s">
        <v>513</v>
      </c>
      <c r="C48" s="4">
        <v>1</v>
      </c>
      <c r="D48" s="4">
        <v>4463</v>
      </c>
      <c r="E48" s="4" t="s">
        <v>514</v>
      </c>
      <c r="F48" s="8">
        <v>190000</v>
      </c>
      <c r="G48" s="8" t="s">
        <v>641</v>
      </c>
      <c r="H48" s="8" t="s">
        <v>642</v>
      </c>
      <c r="I48" s="3" t="s">
        <v>628</v>
      </c>
      <c r="J48" s="2" t="s">
        <v>643</v>
      </c>
      <c r="K48" s="10">
        <f>ROUND(5000,2)</f>
        <v>5000</v>
      </c>
      <c r="L48" s="4">
        <v>400700</v>
      </c>
      <c r="M48" s="4">
        <v>12957</v>
      </c>
    </row>
    <row r="49" spans="1:13" ht="15.75" x14ac:dyDescent="0.2">
      <c r="A49" s="4" t="s">
        <v>470</v>
      </c>
      <c r="B49" s="4" t="s">
        <v>521</v>
      </c>
      <c r="C49" s="4">
        <v>1</v>
      </c>
      <c r="D49" s="4">
        <v>12298</v>
      </c>
      <c r="E49" s="4" t="s">
        <v>321</v>
      </c>
      <c r="F49" s="8">
        <v>999999</v>
      </c>
      <c r="G49" s="8" t="s">
        <v>627</v>
      </c>
      <c r="H49" s="8" t="s">
        <v>627</v>
      </c>
      <c r="I49" s="3" t="s">
        <v>628</v>
      </c>
      <c r="J49" s="2" t="s">
        <v>639</v>
      </c>
      <c r="K49" s="10">
        <f>ROUND(6525,2)</f>
        <v>6525</v>
      </c>
      <c r="L49" s="4">
        <v>401035</v>
      </c>
      <c r="M49" s="4">
        <v>12968</v>
      </c>
    </row>
    <row r="50" spans="1:13" ht="15.75" x14ac:dyDescent="0.2">
      <c r="A50" s="4" t="s">
        <v>470</v>
      </c>
      <c r="B50" s="4" t="s">
        <v>525</v>
      </c>
      <c r="C50" s="4">
        <v>1</v>
      </c>
      <c r="D50" s="4">
        <v>5555</v>
      </c>
      <c r="E50" s="4" t="s">
        <v>127</v>
      </c>
      <c r="F50" s="8">
        <v>261100</v>
      </c>
      <c r="G50" s="8" t="s">
        <v>644</v>
      </c>
      <c r="H50" s="8" t="s">
        <v>633</v>
      </c>
      <c r="I50" s="3" t="s">
        <v>628</v>
      </c>
      <c r="J50" s="2" t="s">
        <v>645</v>
      </c>
      <c r="K50" s="10">
        <f>ROUND(6526.81,2)</f>
        <v>6526.81</v>
      </c>
      <c r="L50" s="4">
        <v>401023</v>
      </c>
      <c r="M50" s="4">
        <v>10307</v>
      </c>
    </row>
    <row r="51" spans="1:13" ht="15.75" x14ac:dyDescent="0.2">
      <c r="A51" s="4" t="s">
        <v>442</v>
      </c>
      <c r="B51" s="4" t="s">
        <v>540</v>
      </c>
      <c r="C51" s="4">
        <v>1</v>
      </c>
      <c r="D51" s="4">
        <v>2109</v>
      </c>
      <c r="E51" s="4" t="s">
        <v>219</v>
      </c>
      <c r="F51" s="8">
        <v>999999</v>
      </c>
      <c r="G51" s="8" t="s">
        <v>648</v>
      </c>
      <c r="H51" s="8" t="s">
        <v>648</v>
      </c>
      <c r="I51" s="3" t="s">
        <v>628</v>
      </c>
      <c r="J51" s="2" t="s">
        <v>649</v>
      </c>
      <c r="K51" s="10">
        <f>ROUND(45347,2)</f>
        <v>45347</v>
      </c>
      <c r="L51" s="4">
        <v>500303</v>
      </c>
      <c r="M51" s="4">
        <v>11489</v>
      </c>
    </row>
    <row r="52" spans="1:13" ht="15.75" x14ac:dyDescent="0.2">
      <c r="A52" s="4" t="s">
        <v>442</v>
      </c>
      <c r="B52" s="4" t="s">
        <v>557</v>
      </c>
      <c r="C52" s="4">
        <v>1</v>
      </c>
      <c r="D52" s="4">
        <v>12362</v>
      </c>
      <c r="E52" s="4" t="s">
        <v>558</v>
      </c>
      <c r="F52" s="8">
        <v>320000</v>
      </c>
      <c r="G52" s="8" t="s">
        <v>646</v>
      </c>
      <c r="H52" s="8" t="s">
        <v>647</v>
      </c>
      <c r="I52" s="3" t="s">
        <v>628</v>
      </c>
      <c r="J52" s="2" t="s">
        <v>643</v>
      </c>
      <c r="K52" s="10">
        <f>ROUND(43169.5,2)</f>
        <v>43169.5</v>
      </c>
      <c r="L52" s="4">
        <v>530306</v>
      </c>
      <c r="M52" s="4">
        <v>12957</v>
      </c>
    </row>
    <row r="53" spans="1:13" ht="15.75" x14ac:dyDescent="0.2">
      <c r="A53" s="4" t="s">
        <v>471</v>
      </c>
      <c r="B53" s="4" t="s">
        <v>572</v>
      </c>
      <c r="C53" s="4">
        <v>1</v>
      </c>
      <c r="D53" s="4">
        <v>5555</v>
      </c>
      <c r="E53" s="4" t="s">
        <v>127</v>
      </c>
      <c r="F53" s="8">
        <v>261100</v>
      </c>
      <c r="G53" s="8" t="s">
        <v>644</v>
      </c>
      <c r="H53" s="8" t="s">
        <v>633</v>
      </c>
      <c r="I53" s="3" t="s">
        <v>628</v>
      </c>
      <c r="J53" s="2" t="s">
        <v>645</v>
      </c>
      <c r="K53" s="10">
        <f>ROUND(6274.62,2)</f>
        <v>6274.62</v>
      </c>
      <c r="L53" s="4">
        <v>401023</v>
      </c>
      <c r="M53" s="4">
        <v>10307</v>
      </c>
    </row>
    <row r="54" spans="1:13" ht="15.75" x14ac:dyDescent="0.2">
      <c r="A54" s="4" t="s">
        <v>471</v>
      </c>
      <c r="B54" s="4" t="s">
        <v>573</v>
      </c>
      <c r="C54" s="4">
        <v>1</v>
      </c>
      <c r="D54" s="4">
        <v>8766</v>
      </c>
      <c r="E54" s="4" t="s">
        <v>277</v>
      </c>
      <c r="F54" s="8">
        <v>999999</v>
      </c>
      <c r="G54" s="8" t="s">
        <v>627</v>
      </c>
      <c r="H54" s="8" t="s">
        <v>627</v>
      </c>
      <c r="I54" s="3" t="s">
        <v>628</v>
      </c>
      <c r="J54" s="2" t="s">
        <v>639</v>
      </c>
      <c r="K54" s="10">
        <f>ROUND(2984.7,2)</f>
        <v>2984.7</v>
      </c>
      <c r="L54" s="4">
        <v>401035</v>
      </c>
      <c r="M54" s="4">
        <v>12968</v>
      </c>
    </row>
    <row r="55" spans="1:13" ht="15.75" x14ac:dyDescent="0.2">
      <c r="A55" s="4" t="s">
        <v>471</v>
      </c>
      <c r="B55" s="4" t="s">
        <v>573</v>
      </c>
      <c r="C55" s="4">
        <v>2</v>
      </c>
      <c r="D55" s="4">
        <v>8766</v>
      </c>
      <c r="E55" s="4" t="s">
        <v>277</v>
      </c>
      <c r="F55" s="8">
        <v>999999</v>
      </c>
      <c r="G55" s="8" t="s">
        <v>627</v>
      </c>
      <c r="H55" s="8" t="s">
        <v>627</v>
      </c>
      <c r="I55" s="3" t="s">
        <v>628</v>
      </c>
      <c r="J55" s="2" t="s">
        <v>639</v>
      </c>
      <c r="K55" s="10">
        <f>ROUND(2984.7,2)</f>
        <v>2984.7</v>
      </c>
      <c r="L55" s="4">
        <v>401035</v>
      </c>
      <c r="M55" s="4">
        <v>12968</v>
      </c>
    </row>
    <row r="56" spans="1:13" ht="15.75" x14ac:dyDescent="0.2">
      <c r="A56" s="4" t="s">
        <v>17</v>
      </c>
      <c r="B56" s="4" t="s">
        <v>34</v>
      </c>
      <c r="C56" s="4">
        <v>1</v>
      </c>
      <c r="D56" s="4">
        <v>10746</v>
      </c>
      <c r="E56" s="4" t="s">
        <v>35</v>
      </c>
      <c r="F56" s="8">
        <v>381600</v>
      </c>
      <c r="G56" s="8" t="s">
        <v>650</v>
      </c>
      <c r="H56" s="8" t="s">
        <v>651</v>
      </c>
      <c r="I56" s="3" t="s">
        <v>619</v>
      </c>
      <c r="J56" s="2" t="s">
        <v>652</v>
      </c>
      <c r="K56" s="10">
        <f>ROUND(7568,2)</f>
        <v>7568</v>
      </c>
      <c r="L56" s="4">
        <v>300302</v>
      </c>
      <c r="M56" s="4">
        <v>11110</v>
      </c>
    </row>
    <row r="57" spans="1:13" ht="15.75" x14ac:dyDescent="0.2">
      <c r="A57" s="4" t="s">
        <v>17</v>
      </c>
      <c r="B57" s="4" t="s">
        <v>36</v>
      </c>
      <c r="C57" s="4">
        <v>1</v>
      </c>
      <c r="D57" s="4">
        <v>3707</v>
      </c>
      <c r="E57" s="4" t="s">
        <v>37</v>
      </c>
      <c r="F57" s="8">
        <v>201100</v>
      </c>
      <c r="G57" s="8" t="s">
        <v>653</v>
      </c>
      <c r="H57" s="8" t="s">
        <v>633</v>
      </c>
      <c r="I57" s="3" t="s">
        <v>619</v>
      </c>
      <c r="J57" s="2" t="s">
        <v>654</v>
      </c>
      <c r="K57" s="10">
        <f>ROUND(5000,2)</f>
        <v>5000</v>
      </c>
      <c r="L57" s="4">
        <v>401003</v>
      </c>
      <c r="M57" s="4">
        <v>12874</v>
      </c>
    </row>
    <row r="58" spans="1:13" ht="15.75" x14ac:dyDescent="0.2">
      <c r="A58" s="4" t="s">
        <v>17</v>
      </c>
      <c r="B58" s="4" t="s">
        <v>43</v>
      </c>
      <c r="C58" s="4">
        <v>1</v>
      </c>
      <c r="D58" s="4">
        <v>16918</v>
      </c>
      <c r="E58" s="4" t="s">
        <v>44</v>
      </c>
      <c r="F58" s="8">
        <v>270000</v>
      </c>
      <c r="G58" s="8" t="s">
        <v>621</v>
      </c>
      <c r="H58" s="8" t="s">
        <v>622</v>
      </c>
      <c r="I58" s="3" t="s">
        <v>619</v>
      </c>
      <c r="J58" s="2" t="s">
        <v>655</v>
      </c>
      <c r="K58" s="10">
        <f>ROUND(9995,2)</f>
        <v>9995</v>
      </c>
      <c r="L58" s="4">
        <v>402004</v>
      </c>
      <c r="M58" s="4">
        <v>12642</v>
      </c>
    </row>
    <row r="59" spans="1:13" ht="15.75" x14ac:dyDescent="0.2">
      <c r="A59" s="4" t="s">
        <v>17</v>
      </c>
      <c r="B59" s="4" t="s">
        <v>49</v>
      </c>
      <c r="C59" s="4">
        <v>1</v>
      </c>
      <c r="D59" s="4">
        <v>1051</v>
      </c>
      <c r="E59" s="4" t="s">
        <v>50</v>
      </c>
      <c r="F59" s="8">
        <v>290000</v>
      </c>
      <c r="G59" s="8" t="s">
        <v>636</v>
      </c>
      <c r="H59" s="8" t="s">
        <v>637</v>
      </c>
      <c r="I59" s="3" t="s">
        <v>628</v>
      </c>
      <c r="J59" s="2" t="s">
        <v>649</v>
      </c>
      <c r="K59" s="10">
        <f>ROUND(5916.75,2)</f>
        <v>5916.75</v>
      </c>
      <c r="L59" s="4">
        <v>401801</v>
      </c>
      <c r="M59" s="4">
        <v>11489</v>
      </c>
    </row>
    <row r="60" spans="1:13" ht="15.75" x14ac:dyDescent="0.2">
      <c r="A60" s="4" t="s">
        <v>17</v>
      </c>
      <c r="B60" s="4" t="s">
        <v>53</v>
      </c>
      <c r="C60" s="4">
        <v>1</v>
      </c>
      <c r="D60" s="4">
        <v>10846</v>
      </c>
      <c r="E60" s="4" t="s">
        <v>52</v>
      </c>
      <c r="F60" s="8">
        <v>150000</v>
      </c>
      <c r="G60" s="8" t="s">
        <v>632</v>
      </c>
      <c r="H60" s="8" t="s">
        <v>633</v>
      </c>
      <c r="I60" s="3" t="s">
        <v>619</v>
      </c>
      <c r="J60" s="2" t="s">
        <v>656</v>
      </c>
      <c r="K60" s="10">
        <f>ROUND(17975,2)</f>
        <v>17975</v>
      </c>
      <c r="L60" s="4">
        <v>401020</v>
      </c>
      <c r="M60" s="4">
        <v>13263</v>
      </c>
    </row>
    <row r="61" spans="1:13" ht="15.75" x14ac:dyDescent="0.2">
      <c r="A61" s="4" t="s">
        <v>17</v>
      </c>
      <c r="B61" s="4" t="s">
        <v>23</v>
      </c>
      <c r="C61" s="4">
        <v>1</v>
      </c>
      <c r="D61" s="4">
        <v>10449</v>
      </c>
      <c r="E61" s="4" t="s">
        <v>24</v>
      </c>
      <c r="F61" s="8">
        <v>320000</v>
      </c>
      <c r="G61" s="8" t="s">
        <v>646</v>
      </c>
      <c r="H61" s="8" t="s">
        <v>647</v>
      </c>
      <c r="I61" s="3" t="s">
        <v>628</v>
      </c>
      <c r="J61" s="2" t="s">
        <v>657</v>
      </c>
      <c r="K61" s="10">
        <f>ROUND(1920,2)</f>
        <v>1920</v>
      </c>
      <c r="L61" s="4">
        <v>530313</v>
      </c>
      <c r="M61" s="4">
        <v>11443</v>
      </c>
    </row>
    <row r="62" spans="1:13" ht="15.75" x14ac:dyDescent="0.2">
      <c r="A62" s="4" t="s">
        <v>17</v>
      </c>
      <c r="B62" s="4" t="s">
        <v>23</v>
      </c>
      <c r="C62" s="4">
        <v>2</v>
      </c>
      <c r="D62" s="4">
        <v>10449</v>
      </c>
      <c r="E62" s="4" t="s">
        <v>24</v>
      </c>
      <c r="F62" s="8">
        <v>320000</v>
      </c>
      <c r="G62" s="8" t="s">
        <v>646</v>
      </c>
      <c r="H62" s="8" t="s">
        <v>647</v>
      </c>
      <c r="I62" s="3" t="s">
        <v>628</v>
      </c>
      <c r="J62" s="2" t="s">
        <v>657</v>
      </c>
      <c r="K62" s="10">
        <f>ROUND(1210,2)</f>
        <v>1210</v>
      </c>
      <c r="L62" s="4">
        <v>530313</v>
      </c>
      <c r="M62" s="4">
        <v>11443</v>
      </c>
    </row>
    <row r="63" spans="1:13" ht="15.75" x14ac:dyDescent="0.2">
      <c r="A63" s="4" t="s">
        <v>17</v>
      </c>
      <c r="B63" s="4" t="s">
        <v>23</v>
      </c>
      <c r="C63" s="4">
        <v>3</v>
      </c>
      <c r="D63" s="4">
        <v>10449</v>
      </c>
      <c r="E63" s="4" t="s">
        <v>24</v>
      </c>
      <c r="F63" s="8">
        <v>320000</v>
      </c>
      <c r="G63" s="8" t="s">
        <v>646</v>
      </c>
      <c r="H63" s="8" t="s">
        <v>647</v>
      </c>
      <c r="I63" s="3" t="s">
        <v>628</v>
      </c>
      <c r="J63" s="2" t="s">
        <v>657</v>
      </c>
      <c r="K63" s="10">
        <f>ROUND(1260,2)</f>
        <v>1260</v>
      </c>
      <c r="L63" s="4">
        <v>530313</v>
      </c>
      <c r="M63" s="4">
        <v>11443</v>
      </c>
    </row>
    <row r="64" spans="1:13" ht="15.75" x14ac:dyDescent="0.2">
      <c r="A64" s="4" t="s">
        <v>17</v>
      </c>
      <c r="B64" s="4" t="s">
        <v>23</v>
      </c>
      <c r="C64" s="4">
        <v>4</v>
      </c>
      <c r="D64" s="4">
        <v>10449</v>
      </c>
      <c r="E64" s="4" t="s">
        <v>24</v>
      </c>
      <c r="F64" s="8">
        <v>320000</v>
      </c>
      <c r="G64" s="8" t="s">
        <v>646</v>
      </c>
      <c r="H64" s="8" t="s">
        <v>647</v>
      </c>
      <c r="I64" s="3" t="s">
        <v>628</v>
      </c>
      <c r="J64" s="2" t="s">
        <v>657</v>
      </c>
      <c r="K64" s="10">
        <f>ROUND(840,2)</f>
        <v>840</v>
      </c>
      <c r="L64" s="4">
        <v>530313</v>
      </c>
      <c r="M64" s="4">
        <v>11443</v>
      </c>
    </row>
    <row r="65" spans="1:13" ht="15.75" x14ac:dyDescent="0.2">
      <c r="A65" s="4" t="s">
        <v>25</v>
      </c>
      <c r="B65" s="4" t="s">
        <v>56</v>
      </c>
      <c r="C65" s="4">
        <v>1</v>
      </c>
      <c r="D65" s="4">
        <v>16905</v>
      </c>
      <c r="E65" s="4" t="s">
        <v>57</v>
      </c>
      <c r="F65" s="8">
        <v>390000</v>
      </c>
      <c r="G65" s="8" t="s">
        <v>624</v>
      </c>
      <c r="H65" s="8" t="s">
        <v>658</v>
      </c>
      <c r="I65" s="3" t="s">
        <v>659</v>
      </c>
      <c r="J65" s="2" t="s">
        <v>660</v>
      </c>
      <c r="K65" s="10">
        <f>ROUND(9020.16,2)</f>
        <v>9020.16</v>
      </c>
      <c r="L65" s="4">
        <v>200123</v>
      </c>
      <c r="M65" s="4">
        <v>11378</v>
      </c>
    </row>
    <row r="66" spans="1:13" ht="15.75" x14ac:dyDescent="0.2">
      <c r="A66" s="4" t="s">
        <v>25</v>
      </c>
      <c r="B66" s="4" t="s">
        <v>61</v>
      </c>
      <c r="C66" s="4">
        <v>1</v>
      </c>
      <c r="D66" s="4">
        <v>16905</v>
      </c>
      <c r="E66" s="4" t="s">
        <v>57</v>
      </c>
      <c r="F66" s="8">
        <v>390000</v>
      </c>
      <c r="G66" s="8" t="s">
        <v>624</v>
      </c>
      <c r="H66" s="8" t="s">
        <v>658</v>
      </c>
      <c r="I66" s="3" t="s">
        <v>659</v>
      </c>
      <c r="J66" s="2" t="s">
        <v>660</v>
      </c>
      <c r="K66" s="10">
        <f>ROUND(8184.11,2)</f>
        <v>8184.11</v>
      </c>
      <c r="L66" s="4">
        <v>200123</v>
      </c>
      <c r="M66" s="4">
        <v>11378</v>
      </c>
    </row>
    <row r="67" spans="1:13" ht="15.75" x14ac:dyDescent="0.2">
      <c r="A67" s="4" t="s">
        <v>25</v>
      </c>
      <c r="B67" s="4" t="s">
        <v>58</v>
      </c>
      <c r="C67" s="4">
        <v>1</v>
      </c>
      <c r="D67" s="4">
        <v>16905</v>
      </c>
      <c r="E67" s="4" t="s">
        <v>57</v>
      </c>
      <c r="F67" s="8">
        <v>390000</v>
      </c>
      <c r="G67" s="8" t="s">
        <v>624</v>
      </c>
      <c r="H67" s="8" t="s">
        <v>658</v>
      </c>
      <c r="I67" s="3" t="s">
        <v>659</v>
      </c>
      <c r="J67" s="2" t="s">
        <v>660</v>
      </c>
      <c r="K67" s="10">
        <f>ROUND(9856.23,2)</f>
        <v>9856.23</v>
      </c>
      <c r="L67" s="4">
        <v>200123</v>
      </c>
      <c r="M67" s="4">
        <v>11378</v>
      </c>
    </row>
    <row r="68" spans="1:13" ht="15.75" x14ac:dyDescent="0.2">
      <c r="A68" s="4" t="s">
        <v>25</v>
      </c>
      <c r="B68" s="4" t="s">
        <v>59</v>
      </c>
      <c r="C68" s="4">
        <v>1</v>
      </c>
      <c r="D68" s="4">
        <v>15643</v>
      </c>
      <c r="E68" s="4" t="s">
        <v>60</v>
      </c>
      <c r="F68" s="8">
        <v>320000</v>
      </c>
      <c r="G68" s="8" t="s">
        <v>646</v>
      </c>
      <c r="H68" s="8" t="s">
        <v>647</v>
      </c>
      <c r="I68" s="3" t="s">
        <v>628</v>
      </c>
      <c r="J68" s="2" t="s">
        <v>661</v>
      </c>
      <c r="K68" s="10">
        <f>ROUND(9048,2)</f>
        <v>9048</v>
      </c>
      <c r="L68" s="4">
        <v>530358</v>
      </c>
      <c r="M68" s="4">
        <v>11513</v>
      </c>
    </row>
    <row r="69" spans="1:13" ht="15.75" x14ac:dyDescent="0.2">
      <c r="A69" s="4" t="s">
        <v>6</v>
      </c>
      <c r="B69" s="4" t="s">
        <v>62</v>
      </c>
      <c r="C69" s="4">
        <v>1</v>
      </c>
      <c r="D69" s="4">
        <v>13860</v>
      </c>
      <c r="E69" s="4" t="s">
        <v>63</v>
      </c>
      <c r="F69" s="8">
        <v>260000</v>
      </c>
      <c r="G69" s="8" t="s">
        <v>630</v>
      </c>
      <c r="H69" s="8" t="s">
        <v>662</v>
      </c>
      <c r="I69" s="3" t="s">
        <v>659</v>
      </c>
      <c r="J69" s="2" t="s">
        <v>663</v>
      </c>
      <c r="K69" s="10">
        <f>ROUND(6930,2)</f>
        <v>6930</v>
      </c>
      <c r="L69" s="4">
        <v>100304</v>
      </c>
      <c r="M69" s="4">
        <v>12328</v>
      </c>
    </row>
    <row r="70" spans="1:13" ht="15.75" x14ac:dyDescent="0.25">
      <c r="A70" s="4" t="s">
        <v>6</v>
      </c>
      <c r="B70" s="4" t="s">
        <v>76</v>
      </c>
      <c r="C70" s="4">
        <v>1</v>
      </c>
      <c r="D70" s="4">
        <v>757</v>
      </c>
      <c r="E70" s="4" t="s">
        <v>7</v>
      </c>
      <c r="F70" s="8">
        <v>390000</v>
      </c>
      <c r="G70" s="8" t="s">
        <v>664</v>
      </c>
      <c r="H70" s="8" t="s">
        <v>664</v>
      </c>
      <c r="I70" s="1" t="s">
        <v>659</v>
      </c>
      <c r="J70" s="2" t="e">
        <v>#N/A</v>
      </c>
      <c r="K70" s="10">
        <f>ROUND(6000,2)</f>
        <v>6000</v>
      </c>
      <c r="L70" s="4">
        <v>401600</v>
      </c>
      <c r="M70" s="4" t="s">
        <v>77</v>
      </c>
    </row>
    <row r="71" spans="1:13" ht="15.75" x14ac:dyDescent="0.25">
      <c r="A71" s="4" t="s">
        <v>6</v>
      </c>
      <c r="B71" s="4" t="s">
        <v>74</v>
      </c>
      <c r="C71" s="4">
        <v>1</v>
      </c>
      <c r="D71" s="4">
        <v>757</v>
      </c>
      <c r="E71" s="4" t="s">
        <v>7</v>
      </c>
      <c r="F71" s="8">
        <v>390000</v>
      </c>
      <c r="G71" s="8" t="s">
        <v>664</v>
      </c>
      <c r="H71" s="8" t="s">
        <v>664</v>
      </c>
      <c r="I71" s="1" t="s">
        <v>659</v>
      </c>
      <c r="J71" s="2" t="e">
        <v>#N/A</v>
      </c>
      <c r="K71" s="10">
        <f>ROUND(6000,2)</f>
        <v>6000</v>
      </c>
      <c r="L71" s="4">
        <v>401600</v>
      </c>
      <c r="M71" s="4" t="s">
        <v>75</v>
      </c>
    </row>
    <row r="72" spans="1:13" ht="15.75" x14ac:dyDescent="0.25">
      <c r="A72" s="4" t="s">
        <v>6</v>
      </c>
      <c r="B72" s="4" t="s">
        <v>72</v>
      </c>
      <c r="C72" s="4">
        <v>1</v>
      </c>
      <c r="D72" s="4">
        <v>757</v>
      </c>
      <c r="E72" s="4" t="s">
        <v>7</v>
      </c>
      <c r="F72" s="8">
        <v>390000</v>
      </c>
      <c r="G72" s="8" t="s">
        <v>664</v>
      </c>
      <c r="H72" s="8" t="s">
        <v>664</v>
      </c>
      <c r="I72" s="1" t="s">
        <v>659</v>
      </c>
      <c r="J72" s="2" t="e">
        <v>#N/A</v>
      </c>
      <c r="K72" s="10">
        <f>ROUND(6000,2)</f>
        <v>6000</v>
      </c>
      <c r="L72" s="4">
        <v>401600</v>
      </c>
      <c r="M72" s="4" t="s">
        <v>73</v>
      </c>
    </row>
    <row r="73" spans="1:13" ht="15.75" x14ac:dyDescent="0.2">
      <c r="A73" s="4" t="s">
        <v>6</v>
      </c>
      <c r="B73" s="4" t="s">
        <v>54</v>
      </c>
      <c r="C73" s="4">
        <v>1</v>
      </c>
      <c r="D73" s="4">
        <v>9382</v>
      </c>
      <c r="E73" s="4" t="s">
        <v>55</v>
      </c>
      <c r="F73" s="8">
        <v>191600</v>
      </c>
      <c r="G73" s="8" t="s">
        <v>665</v>
      </c>
      <c r="H73" s="8" t="s">
        <v>666</v>
      </c>
      <c r="I73" s="3" t="s">
        <v>619</v>
      </c>
      <c r="J73" s="2" t="s">
        <v>667</v>
      </c>
      <c r="K73" s="10">
        <f>ROUND(39507.52,2)</f>
        <v>39507.519999999997</v>
      </c>
      <c r="L73" s="4">
        <v>400800</v>
      </c>
      <c r="M73" s="4">
        <v>11381</v>
      </c>
    </row>
    <row r="74" spans="1:13" ht="15.75" x14ac:dyDescent="0.2">
      <c r="A74" s="4" t="s">
        <v>6</v>
      </c>
      <c r="B74" s="4" t="s">
        <v>79</v>
      </c>
      <c r="C74" s="4">
        <v>1</v>
      </c>
      <c r="D74" s="4">
        <v>10363</v>
      </c>
      <c r="E74" s="4" t="s">
        <v>80</v>
      </c>
      <c r="F74" s="8">
        <v>290000</v>
      </c>
      <c r="G74" s="8" t="s">
        <v>636</v>
      </c>
      <c r="H74" s="8" t="s">
        <v>637</v>
      </c>
      <c r="I74" s="3" t="s">
        <v>659</v>
      </c>
      <c r="J74" s="2" t="s">
        <v>668</v>
      </c>
      <c r="K74" s="10">
        <f>ROUND(34921.2,2)</f>
        <v>34921.199999999997</v>
      </c>
      <c r="L74" s="4">
        <v>401801</v>
      </c>
      <c r="M74" s="4">
        <v>12654</v>
      </c>
    </row>
    <row r="75" spans="1:13" ht="15.75" x14ac:dyDescent="0.2">
      <c r="A75" s="4" t="s">
        <v>6</v>
      </c>
      <c r="B75" s="4" t="s">
        <v>81</v>
      </c>
      <c r="C75" s="4">
        <v>1</v>
      </c>
      <c r="D75" s="4">
        <v>3529</v>
      </c>
      <c r="E75" s="4" t="s">
        <v>2</v>
      </c>
      <c r="F75" s="8">
        <v>290000</v>
      </c>
      <c r="G75" s="8" t="s">
        <v>636</v>
      </c>
      <c r="H75" s="8" t="s">
        <v>637</v>
      </c>
      <c r="I75" s="3" t="s">
        <v>659</v>
      </c>
      <c r="J75" s="2" t="s">
        <v>668</v>
      </c>
      <c r="K75" s="10">
        <f>ROUND(41380,2)</f>
        <v>41380</v>
      </c>
      <c r="L75" s="4">
        <v>401801</v>
      </c>
      <c r="M75" s="4">
        <v>12654</v>
      </c>
    </row>
    <row r="76" spans="1:13" ht="15.75" x14ac:dyDescent="0.2">
      <c r="A76" s="4" t="s">
        <v>6</v>
      </c>
      <c r="B76" s="4" t="s">
        <v>82</v>
      </c>
      <c r="C76" s="4">
        <v>1</v>
      </c>
      <c r="D76" s="4">
        <v>3529</v>
      </c>
      <c r="E76" s="4" t="s">
        <v>2</v>
      </c>
      <c r="F76" s="8">
        <v>290000</v>
      </c>
      <c r="G76" s="8" t="s">
        <v>636</v>
      </c>
      <c r="H76" s="8" t="s">
        <v>637</v>
      </c>
      <c r="I76" s="3" t="s">
        <v>659</v>
      </c>
      <c r="J76" s="2" t="s">
        <v>668</v>
      </c>
      <c r="K76" s="10">
        <f>ROUND(82573.58,2)</f>
        <v>82573.58</v>
      </c>
      <c r="L76" s="4">
        <v>401801</v>
      </c>
      <c r="M76" s="4">
        <v>12654</v>
      </c>
    </row>
    <row r="77" spans="1:13" ht="15.75" x14ac:dyDescent="0.25">
      <c r="A77" s="4" t="s">
        <v>13</v>
      </c>
      <c r="B77" s="4" t="s">
        <v>69</v>
      </c>
      <c r="C77" s="4">
        <v>1</v>
      </c>
      <c r="D77" s="4">
        <v>16219</v>
      </c>
      <c r="E77" s="4" t="s">
        <v>70</v>
      </c>
      <c r="F77" s="8">
        <v>210000</v>
      </c>
      <c r="G77" s="8" t="s">
        <v>669</v>
      </c>
      <c r="H77" s="8" t="s">
        <v>618</v>
      </c>
      <c r="I77" s="1" t="s">
        <v>628</v>
      </c>
      <c r="J77" s="2" t="e">
        <v>#N/A</v>
      </c>
      <c r="K77" s="10">
        <f>ROUND(5181.1,2)</f>
        <v>5181.1000000000004</v>
      </c>
      <c r="L77" s="4">
        <v>400100</v>
      </c>
      <c r="M77" s="4" t="s">
        <v>71</v>
      </c>
    </row>
    <row r="78" spans="1:13" ht="15.75" x14ac:dyDescent="0.2">
      <c r="A78" s="4" t="s">
        <v>13</v>
      </c>
      <c r="B78" s="4" t="s">
        <v>85</v>
      </c>
      <c r="C78" s="4">
        <v>1</v>
      </c>
      <c r="D78" s="4">
        <v>6967</v>
      </c>
      <c r="E78" s="4" t="s">
        <v>78</v>
      </c>
      <c r="F78" s="8">
        <v>150000</v>
      </c>
      <c r="G78" s="8" t="s">
        <v>632</v>
      </c>
      <c r="H78" s="8" t="s">
        <v>633</v>
      </c>
      <c r="I78" s="3" t="s">
        <v>659</v>
      </c>
      <c r="J78" s="2" t="s">
        <v>670</v>
      </c>
      <c r="K78" s="10">
        <f>ROUND(41400,2)</f>
        <v>41400</v>
      </c>
      <c r="L78" s="4">
        <v>401020</v>
      </c>
      <c r="M78" s="4">
        <v>11959</v>
      </c>
    </row>
    <row r="79" spans="1:13" ht="15.75" x14ac:dyDescent="0.2">
      <c r="A79" s="4" t="s">
        <v>13</v>
      </c>
      <c r="B79" s="4" t="s">
        <v>100</v>
      </c>
      <c r="C79" s="4">
        <v>1</v>
      </c>
      <c r="D79" s="4">
        <v>423</v>
      </c>
      <c r="E79" s="4" t="s">
        <v>101</v>
      </c>
      <c r="F79" s="8">
        <v>999999</v>
      </c>
      <c r="G79" s="8" t="s">
        <v>648</v>
      </c>
      <c r="H79" s="8" t="s">
        <v>648</v>
      </c>
      <c r="I79" s="3" t="s">
        <v>628</v>
      </c>
      <c r="J79" s="2" t="s">
        <v>671</v>
      </c>
      <c r="K79" s="10">
        <f>ROUND(8982,2)</f>
        <v>8982</v>
      </c>
      <c r="L79" s="4">
        <v>500303</v>
      </c>
      <c r="M79" s="4">
        <v>13031</v>
      </c>
    </row>
    <row r="80" spans="1:13" ht="15.75" x14ac:dyDescent="0.25">
      <c r="A80" s="4" t="s">
        <v>21</v>
      </c>
      <c r="B80" s="4" t="s">
        <v>28</v>
      </c>
      <c r="C80" s="4">
        <v>1</v>
      </c>
      <c r="D80" s="4">
        <v>1353</v>
      </c>
      <c r="E80" s="4" t="s">
        <v>29</v>
      </c>
      <c r="F80" s="8">
        <v>390000</v>
      </c>
      <c r="G80" s="8" t="s">
        <v>664</v>
      </c>
      <c r="H80" s="8" t="s">
        <v>664</v>
      </c>
      <c r="I80" s="1" t="s">
        <v>659</v>
      </c>
      <c r="J80" s="2" t="e">
        <v>#N/A</v>
      </c>
      <c r="K80" s="10">
        <f>ROUND(7722,2)</f>
        <v>7722</v>
      </c>
      <c r="L80" s="4">
        <v>401600</v>
      </c>
      <c r="M80" s="4" t="s">
        <v>30</v>
      </c>
    </row>
    <row r="81" spans="1:13" ht="15.75" x14ac:dyDescent="0.2">
      <c r="A81" s="4" t="s">
        <v>21</v>
      </c>
      <c r="B81" s="4" t="s">
        <v>20</v>
      </c>
      <c r="C81" s="4">
        <v>1</v>
      </c>
      <c r="D81" s="4">
        <v>16898</v>
      </c>
      <c r="E81" s="4" t="s">
        <v>22</v>
      </c>
      <c r="F81" s="8">
        <v>150000</v>
      </c>
      <c r="G81" s="8" t="s">
        <v>632</v>
      </c>
      <c r="H81" s="8" t="s">
        <v>633</v>
      </c>
      <c r="I81" s="3" t="s">
        <v>628</v>
      </c>
      <c r="J81" s="2" t="s">
        <v>672</v>
      </c>
      <c r="K81" s="10">
        <f>ROUND(28000,2)</f>
        <v>28000</v>
      </c>
      <c r="L81" s="4">
        <v>401007</v>
      </c>
      <c r="M81" s="4">
        <v>13274</v>
      </c>
    </row>
    <row r="82" spans="1:13" ht="15.75" x14ac:dyDescent="0.2">
      <c r="A82" s="4" t="s">
        <v>21</v>
      </c>
      <c r="B82" s="4" t="s">
        <v>108</v>
      </c>
      <c r="C82" s="4">
        <v>1</v>
      </c>
      <c r="D82" s="4">
        <v>16249</v>
      </c>
      <c r="E82" s="4" t="s">
        <v>109</v>
      </c>
      <c r="F82" s="8">
        <v>260000</v>
      </c>
      <c r="G82" s="8" t="s">
        <v>630</v>
      </c>
      <c r="H82" s="8" t="s">
        <v>631</v>
      </c>
      <c r="I82" s="3" t="s">
        <v>628</v>
      </c>
      <c r="J82" s="2" t="s">
        <v>671</v>
      </c>
      <c r="K82" s="10">
        <f>ROUND(45600,2)</f>
        <v>45600</v>
      </c>
      <c r="L82" s="4">
        <v>102020</v>
      </c>
      <c r="M82" s="4">
        <v>13031</v>
      </c>
    </row>
    <row r="83" spans="1:13" ht="15.75" x14ac:dyDescent="0.2">
      <c r="A83" s="4" t="s">
        <v>5</v>
      </c>
      <c r="B83" s="4" t="s">
        <v>97</v>
      </c>
      <c r="C83" s="4">
        <v>1</v>
      </c>
      <c r="D83" s="4">
        <v>14466</v>
      </c>
      <c r="E83" s="4" t="s">
        <v>98</v>
      </c>
      <c r="F83" s="8">
        <v>270000</v>
      </c>
      <c r="G83" s="8" t="s">
        <v>621</v>
      </c>
      <c r="H83" s="8" t="s">
        <v>622</v>
      </c>
      <c r="I83" s="3" t="s">
        <v>619</v>
      </c>
      <c r="J83" s="2" t="s">
        <v>623</v>
      </c>
      <c r="K83" s="10">
        <f>ROUND(82710,2)</f>
        <v>82710</v>
      </c>
      <c r="L83" s="4">
        <v>402001</v>
      </c>
      <c r="M83" s="4">
        <v>11324</v>
      </c>
    </row>
    <row r="84" spans="1:13" ht="15.75" x14ac:dyDescent="0.2">
      <c r="A84" s="4" t="s">
        <v>5</v>
      </c>
      <c r="B84" s="4" t="s">
        <v>38</v>
      </c>
      <c r="C84" s="4">
        <v>1</v>
      </c>
      <c r="D84" s="4">
        <v>3763</v>
      </c>
      <c r="E84" s="4" t="s">
        <v>39</v>
      </c>
      <c r="F84" s="8">
        <v>270000</v>
      </c>
      <c r="G84" s="8" t="s">
        <v>621</v>
      </c>
      <c r="H84" s="8" t="s">
        <v>622</v>
      </c>
      <c r="I84" s="3" t="s">
        <v>659</v>
      </c>
      <c r="J84" s="2" t="s">
        <v>673</v>
      </c>
      <c r="K84" s="10">
        <f>ROUND(6600,2)</f>
        <v>6600</v>
      </c>
      <c r="L84" s="4">
        <v>402001</v>
      </c>
      <c r="M84" s="4">
        <v>12152</v>
      </c>
    </row>
    <row r="85" spans="1:13" ht="15.75" x14ac:dyDescent="0.2">
      <c r="A85" s="4" t="s">
        <v>5</v>
      </c>
      <c r="B85" s="4" t="s">
        <v>114</v>
      </c>
      <c r="C85" s="4">
        <v>1</v>
      </c>
      <c r="D85" s="4">
        <v>3750</v>
      </c>
      <c r="E85" s="4" t="s">
        <v>115</v>
      </c>
      <c r="F85" s="8">
        <v>150000</v>
      </c>
      <c r="G85" s="8" t="s">
        <v>632</v>
      </c>
      <c r="H85" s="8" t="s">
        <v>633</v>
      </c>
      <c r="I85" s="3" t="s">
        <v>659</v>
      </c>
      <c r="J85" s="2" t="s">
        <v>674</v>
      </c>
      <c r="K85" s="10">
        <f>ROUND(1201744,2)</f>
        <v>1201744</v>
      </c>
      <c r="L85" s="4">
        <v>401007</v>
      </c>
      <c r="M85" s="4">
        <v>11379</v>
      </c>
    </row>
    <row r="86" spans="1:13" ht="15.75" x14ac:dyDescent="0.2">
      <c r="A86" s="4" t="s">
        <v>107</v>
      </c>
      <c r="B86" s="4" t="s">
        <v>121</v>
      </c>
      <c r="C86" s="4">
        <v>1</v>
      </c>
      <c r="D86" s="4">
        <v>7820</v>
      </c>
      <c r="E86" s="4" t="s">
        <v>122</v>
      </c>
      <c r="F86" s="8">
        <v>150000</v>
      </c>
      <c r="G86" s="8" t="s">
        <v>632</v>
      </c>
      <c r="H86" s="8" t="s">
        <v>633</v>
      </c>
      <c r="I86" s="3" t="s">
        <v>628</v>
      </c>
      <c r="J86" s="2" t="s">
        <v>675</v>
      </c>
      <c r="K86" s="10">
        <f>ROUND(20107.47,2)</f>
        <v>20107.47</v>
      </c>
      <c r="L86" s="4">
        <v>401020</v>
      </c>
      <c r="M86" s="4">
        <v>13004</v>
      </c>
    </row>
    <row r="87" spans="1:13" ht="15.75" x14ac:dyDescent="0.2">
      <c r="A87" s="4" t="s">
        <v>107</v>
      </c>
      <c r="B87" s="4" t="s">
        <v>133</v>
      </c>
      <c r="C87" s="4">
        <v>1</v>
      </c>
      <c r="D87" s="4">
        <v>7572</v>
      </c>
      <c r="E87" s="4" t="s">
        <v>134</v>
      </c>
      <c r="F87" s="8">
        <v>999999</v>
      </c>
      <c r="G87" s="8" t="s">
        <v>648</v>
      </c>
      <c r="H87" s="8" t="s">
        <v>648</v>
      </c>
      <c r="I87" s="3" t="s">
        <v>628</v>
      </c>
      <c r="J87" s="2" t="s">
        <v>671</v>
      </c>
      <c r="K87" s="10">
        <f>ROUND(8982,2)</f>
        <v>8982</v>
      </c>
      <c r="L87" s="4">
        <v>500303</v>
      </c>
      <c r="M87" s="4">
        <v>13031</v>
      </c>
    </row>
    <row r="88" spans="1:13" ht="15.75" x14ac:dyDescent="0.2">
      <c r="A88" s="4" t="s">
        <v>31</v>
      </c>
      <c r="B88" s="4" t="s">
        <v>87</v>
      </c>
      <c r="C88" s="4">
        <v>1</v>
      </c>
      <c r="D88" s="4">
        <v>13951</v>
      </c>
      <c r="E88" s="4" t="s">
        <v>88</v>
      </c>
      <c r="F88" s="8">
        <v>260000</v>
      </c>
      <c r="G88" s="8" t="s">
        <v>630</v>
      </c>
      <c r="H88" s="8" t="s">
        <v>631</v>
      </c>
      <c r="I88" s="3" t="s">
        <v>628</v>
      </c>
      <c r="J88" s="2" t="s">
        <v>676</v>
      </c>
      <c r="K88" s="10">
        <f>ROUND(6570,2)</f>
        <v>6570</v>
      </c>
      <c r="L88" s="4">
        <v>102020</v>
      </c>
      <c r="M88" s="4">
        <v>13000</v>
      </c>
    </row>
    <row r="89" spans="1:13" ht="15.75" x14ac:dyDescent="0.2">
      <c r="A89" s="4" t="s">
        <v>31</v>
      </c>
      <c r="B89" s="4" t="s">
        <v>99</v>
      </c>
      <c r="C89" s="4">
        <v>1</v>
      </c>
      <c r="D89" s="4">
        <v>35</v>
      </c>
      <c r="E89" s="4" t="s">
        <v>19</v>
      </c>
      <c r="F89" s="8">
        <v>270000</v>
      </c>
      <c r="G89" s="8" t="s">
        <v>621</v>
      </c>
      <c r="H89" s="8" t="s">
        <v>622</v>
      </c>
      <c r="I89" s="3" t="s">
        <v>659</v>
      </c>
      <c r="J89" s="2" t="s">
        <v>677</v>
      </c>
      <c r="K89" s="10">
        <f>ROUND(7020,2)</f>
        <v>7020</v>
      </c>
      <c r="L89" s="4">
        <v>402001</v>
      </c>
      <c r="M89" s="4">
        <v>12150</v>
      </c>
    </row>
    <row r="90" spans="1:13" ht="15.75" x14ac:dyDescent="0.25">
      <c r="A90" s="4" t="s">
        <v>31</v>
      </c>
      <c r="B90" s="4" t="s">
        <v>138</v>
      </c>
      <c r="C90" s="4">
        <v>1</v>
      </c>
      <c r="D90" s="4">
        <v>6356</v>
      </c>
      <c r="E90" s="4" t="s">
        <v>139</v>
      </c>
      <c r="F90" s="8">
        <v>391114</v>
      </c>
      <c r="G90" s="8" t="s">
        <v>678</v>
      </c>
      <c r="H90" s="8" t="s">
        <v>679</v>
      </c>
      <c r="I90" s="1" t="s">
        <v>628</v>
      </c>
      <c r="J90" s="2" t="e">
        <v>#N/A</v>
      </c>
      <c r="K90" s="10">
        <f>ROUND(10665,2)</f>
        <v>10665</v>
      </c>
      <c r="L90" s="4">
        <v>200316</v>
      </c>
      <c r="M90" s="4" t="s">
        <v>68</v>
      </c>
    </row>
    <row r="91" spans="1:13" ht="15.75" x14ac:dyDescent="0.2">
      <c r="A91" s="4" t="s">
        <v>31</v>
      </c>
      <c r="B91" s="4" t="s">
        <v>141</v>
      </c>
      <c r="C91" s="4">
        <v>1</v>
      </c>
      <c r="D91" s="4">
        <v>6138</v>
      </c>
      <c r="E91" s="4" t="s">
        <v>142</v>
      </c>
      <c r="F91" s="8">
        <v>270000</v>
      </c>
      <c r="G91" s="8" t="s">
        <v>621</v>
      </c>
      <c r="H91" s="8" t="s">
        <v>622</v>
      </c>
      <c r="I91" s="3" t="s">
        <v>659</v>
      </c>
      <c r="J91" s="2" t="s">
        <v>680</v>
      </c>
      <c r="K91" s="10">
        <f>ROUND(21366,2)</f>
        <v>21366</v>
      </c>
      <c r="L91" s="4">
        <v>402010</v>
      </c>
      <c r="M91" s="4">
        <v>13064</v>
      </c>
    </row>
    <row r="92" spans="1:13" ht="15.75" x14ac:dyDescent="0.2">
      <c r="A92" s="4" t="s">
        <v>31</v>
      </c>
      <c r="B92" s="4" t="s">
        <v>92</v>
      </c>
      <c r="C92" s="4">
        <v>1</v>
      </c>
      <c r="D92" s="4">
        <v>304</v>
      </c>
      <c r="E92" s="4" t="s">
        <v>93</v>
      </c>
      <c r="F92" s="8">
        <v>240000</v>
      </c>
      <c r="G92" s="8" t="s">
        <v>681</v>
      </c>
      <c r="H92" s="8" t="s">
        <v>682</v>
      </c>
      <c r="I92" s="3" t="s">
        <v>659</v>
      </c>
      <c r="J92" s="2" t="s">
        <v>683</v>
      </c>
      <c r="K92" s="10">
        <f>ROUND(7499.5,2)</f>
        <v>7499.5</v>
      </c>
      <c r="L92" s="4">
        <v>202033</v>
      </c>
      <c r="M92" s="4">
        <v>11267</v>
      </c>
    </row>
    <row r="93" spans="1:13" ht="15.75" x14ac:dyDescent="0.2">
      <c r="A93" s="4" t="s">
        <v>31</v>
      </c>
      <c r="B93" s="4" t="s">
        <v>91</v>
      </c>
      <c r="C93" s="4">
        <v>1</v>
      </c>
      <c r="D93" s="4">
        <v>6170</v>
      </c>
      <c r="E93" s="4" t="s">
        <v>47</v>
      </c>
      <c r="F93" s="8">
        <v>240000</v>
      </c>
      <c r="G93" s="8" t="s">
        <v>681</v>
      </c>
      <c r="H93" s="8" t="s">
        <v>682</v>
      </c>
      <c r="I93" s="3" t="s">
        <v>659</v>
      </c>
      <c r="J93" s="2" t="s">
        <v>684</v>
      </c>
      <c r="K93" s="10">
        <f>ROUND(6278,2)</f>
        <v>6278</v>
      </c>
      <c r="L93" s="4">
        <v>202000</v>
      </c>
      <c r="M93" s="4">
        <v>11191</v>
      </c>
    </row>
    <row r="94" spans="1:13" ht="15.75" x14ac:dyDescent="0.2">
      <c r="A94" s="4" t="s">
        <v>31</v>
      </c>
      <c r="B94" s="4" t="s">
        <v>120</v>
      </c>
      <c r="C94" s="4">
        <v>1</v>
      </c>
      <c r="D94" s="4">
        <v>3529</v>
      </c>
      <c r="E94" s="4" t="s">
        <v>2</v>
      </c>
      <c r="F94" s="8">
        <v>181200</v>
      </c>
      <c r="G94" s="8" t="s">
        <v>685</v>
      </c>
      <c r="H94" s="8" t="s">
        <v>686</v>
      </c>
      <c r="I94" s="3" t="s">
        <v>659</v>
      </c>
      <c r="J94" s="2" t="s">
        <v>687</v>
      </c>
      <c r="K94" s="10">
        <f>ROUND(10000,2)</f>
        <v>10000</v>
      </c>
      <c r="L94" s="4">
        <v>201604</v>
      </c>
      <c r="M94" s="4">
        <v>10896</v>
      </c>
    </row>
    <row r="95" spans="1:13" ht="15.75" x14ac:dyDescent="0.2">
      <c r="A95" s="4" t="s">
        <v>31</v>
      </c>
      <c r="B95" s="4" t="s">
        <v>143</v>
      </c>
      <c r="C95" s="4">
        <v>1</v>
      </c>
      <c r="D95" s="4">
        <v>16729</v>
      </c>
      <c r="E95" s="4" t="s">
        <v>144</v>
      </c>
      <c r="F95" s="8">
        <v>320000</v>
      </c>
      <c r="G95" s="8" t="s">
        <v>646</v>
      </c>
      <c r="H95" s="8" t="s">
        <v>688</v>
      </c>
      <c r="I95" s="3" t="s">
        <v>628</v>
      </c>
      <c r="J95" s="2" t="s">
        <v>689</v>
      </c>
      <c r="K95" s="10">
        <f>ROUND(5751,2)</f>
        <v>5751</v>
      </c>
      <c r="L95" s="4">
        <v>402403</v>
      </c>
      <c r="M95" s="4">
        <v>13100</v>
      </c>
    </row>
    <row r="96" spans="1:13" ht="15.75" x14ac:dyDescent="0.2">
      <c r="A96" s="4" t="s">
        <v>4</v>
      </c>
      <c r="B96" s="4" t="s">
        <v>146</v>
      </c>
      <c r="C96" s="4">
        <v>1</v>
      </c>
      <c r="D96" s="4">
        <v>544</v>
      </c>
      <c r="E96" s="4" t="s">
        <v>67</v>
      </c>
      <c r="F96" s="8">
        <v>270000</v>
      </c>
      <c r="G96" s="8" t="s">
        <v>621</v>
      </c>
      <c r="H96" s="8" t="s">
        <v>622</v>
      </c>
      <c r="I96" s="3" t="s">
        <v>619</v>
      </c>
      <c r="J96" s="2" t="s">
        <v>623</v>
      </c>
      <c r="K96" s="10">
        <f>ROUND(10924.2,2)</f>
        <v>10924.2</v>
      </c>
      <c r="L96" s="4">
        <v>402001</v>
      </c>
      <c r="M96" s="4">
        <v>11324</v>
      </c>
    </row>
    <row r="97" spans="1:13" ht="15.75" x14ac:dyDescent="0.2">
      <c r="A97" s="4" t="s">
        <v>4</v>
      </c>
      <c r="B97" s="4" t="s">
        <v>148</v>
      </c>
      <c r="C97" s="4">
        <v>1</v>
      </c>
      <c r="D97" s="4">
        <v>16942</v>
      </c>
      <c r="E97" s="4" t="s">
        <v>149</v>
      </c>
      <c r="F97" s="8">
        <v>150000</v>
      </c>
      <c r="G97" s="8" t="s">
        <v>632</v>
      </c>
      <c r="H97" s="8" t="s">
        <v>633</v>
      </c>
      <c r="I97" s="3" t="s">
        <v>628</v>
      </c>
      <c r="J97" s="2" t="s">
        <v>690</v>
      </c>
      <c r="K97" s="10">
        <f>ROUND(6000,2)</f>
        <v>6000</v>
      </c>
      <c r="L97" s="4">
        <v>401020</v>
      </c>
      <c r="M97" s="4">
        <v>12852</v>
      </c>
    </row>
    <row r="98" spans="1:13" ht="15.75" x14ac:dyDescent="0.2">
      <c r="A98" s="4" t="s">
        <v>4</v>
      </c>
      <c r="B98" s="4" t="s">
        <v>157</v>
      </c>
      <c r="C98" s="4">
        <v>1</v>
      </c>
      <c r="D98" s="4">
        <v>16830</v>
      </c>
      <c r="E98" s="4" t="s">
        <v>158</v>
      </c>
      <c r="F98" s="8">
        <v>150000</v>
      </c>
      <c r="G98" s="8" t="s">
        <v>632</v>
      </c>
      <c r="H98" s="8" t="s">
        <v>633</v>
      </c>
      <c r="I98" s="3" t="s">
        <v>628</v>
      </c>
      <c r="J98" s="2" t="s">
        <v>672</v>
      </c>
      <c r="K98" s="10">
        <f>ROUND(7150,2)</f>
        <v>7150</v>
      </c>
      <c r="L98" s="4">
        <v>401007</v>
      </c>
      <c r="M98" s="4">
        <v>13274</v>
      </c>
    </row>
    <row r="99" spans="1:13" ht="15.75" x14ac:dyDescent="0.2">
      <c r="A99" s="4" t="s">
        <v>8</v>
      </c>
      <c r="B99" s="4" t="s">
        <v>153</v>
      </c>
      <c r="C99" s="4">
        <v>1</v>
      </c>
      <c r="D99" s="4">
        <v>757</v>
      </c>
      <c r="E99" s="4" t="s">
        <v>7</v>
      </c>
      <c r="F99" s="8">
        <v>170000</v>
      </c>
      <c r="G99" s="8" t="s">
        <v>626</v>
      </c>
      <c r="H99" s="8" t="s">
        <v>691</v>
      </c>
      <c r="I99" s="3" t="s">
        <v>628</v>
      </c>
      <c r="J99" s="2" t="s">
        <v>692</v>
      </c>
      <c r="K99" s="10">
        <f>ROUND(6048,2)</f>
        <v>6048</v>
      </c>
      <c r="L99" s="4">
        <v>530102</v>
      </c>
      <c r="M99" s="4">
        <v>10429</v>
      </c>
    </row>
    <row r="100" spans="1:13" ht="15.75" x14ac:dyDescent="0.2">
      <c r="A100" s="4" t="s">
        <v>8</v>
      </c>
      <c r="B100" s="4" t="s">
        <v>153</v>
      </c>
      <c r="C100" s="4">
        <v>1</v>
      </c>
      <c r="D100" s="4">
        <v>757</v>
      </c>
      <c r="E100" s="4" t="s">
        <v>7</v>
      </c>
      <c r="F100" s="8">
        <v>170000</v>
      </c>
      <c r="G100" s="8" t="s">
        <v>626</v>
      </c>
      <c r="H100" s="8" t="s">
        <v>691</v>
      </c>
      <c r="I100" s="3" t="s">
        <v>628</v>
      </c>
      <c r="J100" s="2" t="s">
        <v>693</v>
      </c>
      <c r="K100" s="10">
        <f>ROUND(100926,2)</f>
        <v>100926</v>
      </c>
      <c r="L100" s="4">
        <v>530102</v>
      </c>
      <c r="M100" s="4">
        <v>10430</v>
      </c>
    </row>
    <row r="101" spans="1:13" ht="15.75" x14ac:dyDescent="0.2">
      <c r="A101" s="4" t="s">
        <v>8</v>
      </c>
      <c r="B101" s="4" t="s">
        <v>161</v>
      </c>
      <c r="C101" s="4">
        <v>1</v>
      </c>
      <c r="D101" s="4">
        <v>1342</v>
      </c>
      <c r="E101" s="4" t="s">
        <v>162</v>
      </c>
      <c r="F101" s="8">
        <v>182020</v>
      </c>
      <c r="G101" s="8" t="s">
        <v>694</v>
      </c>
      <c r="H101" s="8" t="s">
        <v>695</v>
      </c>
      <c r="I101" s="3" t="s">
        <v>659</v>
      </c>
      <c r="J101" s="2" t="s">
        <v>696</v>
      </c>
      <c r="K101" s="10">
        <f>ROUND(3373.5,2)</f>
        <v>3373.5</v>
      </c>
      <c r="L101" s="4">
        <v>400401</v>
      </c>
      <c r="M101" s="4">
        <v>10883</v>
      </c>
    </row>
    <row r="102" spans="1:13" ht="15.75" x14ac:dyDescent="0.2">
      <c r="A102" s="4" t="s">
        <v>8</v>
      </c>
      <c r="B102" s="4" t="s">
        <v>161</v>
      </c>
      <c r="C102" s="4">
        <v>2</v>
      </c>
      <c r="D102" s="4">
        <v>1342</v>
      </c>
      <c r="E102" s="4" t="s">
        <v>162</v>
      </c>
      <c r="F102" s="8">
        <v>182020</v>
      </c>
      <c r="G102" s="8" t="s">
        <v>694</v>
      </c>
      <c r="H102" s="8" t="s">
        <v>695</v>
      </c>
      <c r="I102" s="3" t="s">
        <v>659</v>
      </c>
      <c r="J102" s="2" t="s">
        <v>696</v>
      </c>
      <c r="K102" s="10">
        <f>ROUND(3373.5,2)</f>
        <v>3373.5</v>
      </c>
      <c r="L102" s="4">
        <v>400401</v>
      </c>
      <c r="M102" s="4">
        <v>10883</v>
      </c>
    </row>
    <row r="103" spans="1:13" ht="15.75" x14ac:dyDescent="0.2">
      <c r="A103" s="4" t="s">
        <v>8</v>
      </c>
      <c r="B103" s="4" t="s">
        <v>163</v>
      </c>
      <c r="C103" s="4">
        <v>1</v>
      </c>
      <c r="D103" s="4">
        <v>14149</v>
      </c>
      <c r="E103" s="4" t="s">
        <v>164</v>
      </c>
      <c r="F103" s="8">
        <v>210000</v>
      </c>
      <c r="G103" s="8" t="s">
        <v>669</v>
      </c>
      <c r="H103" s="8" t="s">
        <v>618</v>
      </c>
      <c r="I103" s="3" t="s">
        <v>619</v>
      </c>
      <c r="J103" s="2" t="s">
        <v>697</v>
      </c>
      <c r="K103" s="10">
        <f>ROUND(17820,2)</f>
        <v>17820</v>
      </c>
      <c r="L103" s="4">
        <v>400100</v>
      </c>
      <c r="M103" s="4">
        <v>11418</v>
      </c>
    </row>
    <row r="104" spans="1:13" ht="15.75" x14ac:dyDescent="0.2">
      <c r="A104" s="4" t="s">
        <v>8</v>
      </c>
      <c r="B104" s="4" t="s">
        <v>163</v>
      </c>
      <c r="C104" s="4">
        <v>2</v>
      </c>
      <c r="D104" s="4">
        <v>14149</v>
      </c>
      <c r="E104" s="4" t="s">
        <v>164</v>
      </c>
      <c r="F104" s="8">
        <v>210000</v>
      </c>
      <c r="G104" s="8" t="s">
        <v>669</v>
      </c>
      <c r="H104" s="8" t="s">
        <v>618</v>
      </c>
      <c r="I104" s="3" t="s">
        <v>619</v>
      </c>
      <c r="J104" s="2" t="s">
        <v>697</v>
      </c>
      <c r="K104" s="10">
        <f>ROUND(1400,2)</f>
        <v>1400</v>
      </c>
      <c r="L104" s="4">
        <v>400100</v>
      </c>
      <c r="M104" s="4">
        <v>11418</v>
      </c>
    </row>
    <row r="105" spans="1:13" ht="15.75" x14ac:dyDescent="0.2">
      <c r="A105" s="4" t="s">
        <v>8</v>
      </c>
      <c r="B105" s="4" t="s">
        <v>163</v>
      </c>
      <c r="C105" s="4">
        <v>3</v>
      </c>
      <c r="D105" s="4">
        <v>14149</v>
      </c>
      <c r="E105" s="4" t="s">
        <v>164</v>
      </c>
      <c r="F105" s="8">
        <v>210000</v>
      </c>
      <c r="G105" s="8" t="s">
        <v>669</v>
      </c>
      <c r="H105" s="8" t="s">
        <v>618</v>
      </c>
      <c r="I105" s="3" t="s">
        <v>619</v>
      </c>
      <c r="J105" s="2" t="s">
        <v>697</v>
      </c>
      <c r="K105" s="10">
        <f>ROUND(3472,2)</f>
        <v>3472</v>
      </c>
      <c r="L105" s="4">
        <v>400100</v>
      </c>
      <c r="M105" s="4">
        <v>11418</v>
      </c>
    </row>
    <row r="106" spans="1:13" ht="15.75" x14ac:dyDescent="0.2">
      <c r="A106" s="4" t="s">
        <v>8</v>
      </c>
      <c r="B106" s="4" t="s">
        <v>147</v>
      </c>
      <c r="C106" s="4">
        <v>1</v>
      </c>
      <c r="D106" s="4">
        <v>10298</v>
      </c>
      <c r="E106" s="4" t="s">
        <v>106</v>
      </c>
      <c r="F106" s="8">
        <v>181800</v>
      </c>
      <c r="G106" s="8" t="s">
        <v>617</v>
      </c>
      <c r="H106" s="8" t="s">
        <v>618</v>
      </c>
      <c r="I106" s="3" t="s">
        <v>619</v>
      </c>
      <c r="J106" s="2" t="s">
        <v>698</v>
      </c>
      <c r="K106" s="10">
        <f>ROUND(6440,2)</f>
        <v>6440</v>
      </c>
      <c r="L106" s="4">
        <v>400110</v>
      </c>
      <c r="M106" s="4">
        <v>11122</v>
      </c>
    </row>
    <row r="107" spans="1:13" ht="15.75" x14ac:dyDescent="0.2">
      <c r="A107" s="4" t="s">
        <v>8</v>
      </c>
      <c r="B107" s="4" t="s">
        <v>151</v>
      </c>
      <c r="C107" s="4">
        <v>1</v>
      </c>
      <c r="D107" s="4">
        <v>16514</v>
      </c>
      <c r="E107" s="4" t="s">
        <v>152</v>
      </c>
      <c r="F107" s="8">
        <v>190000</v>
      </c>
      <c r="G107" s="8" t="s">
        <v>641</v>
      </c>
      <c r="H107" s="8" t="s">
        <v>637</v>
      </c>
      <c r="I107" s="3" t="s">
        <v>659</v>
      </c>
      <c r="J107" s="2" t="s">
        <v>699</v>
      </c>
      <c r="K107" s="10">
        <f>ROUND(3750,2)</f>
        <v>3750</v>
      </c>
      <c r="L107" s="4">
        <v>401802</v>
      </c>
      <c r="M107" s="4">
        <v>10083</v>
      </c>
    </row>
    <row r="108" spans="1:13" ht="15.75" x14ac:dyDescent="0.2">
      <c r="A108" s="4" t="s">
        <v>8</v>
      </c>
      <c r="B108" s="4" t="s">
        <v>151</v>
      </c>
      <c r="C108" s="4">
        <v>1</v>
      </c>
      <c r="D108" s="4">
        <v>16514</v>
      </c>
      <c r="E108" s="4" t="s">
        <v>152</v>
      </c>
      <c r="F108" s="8">
        <v>190000</v>
      </c>
      <c r="G108" s="8" t="s">
        <v>641</v>
      </c>
      <c r="H108" s="8" t="s">
        <v>637</v>
      </c>
      <c r="I108" s="3" t="s">
        <v>659</v>
      </c>
      <c r="J108" s="2" t="s">
        <v>700</v>
      </c>
      <c r="K108" s="10">
        <f>ROUND(3750,2)</f>
        <v>3750</v>
      </c>
      <c r="L108" s="4">
        <v>401802</v>
      </c>
      <c r="M108" s="4">
        <v>10890</v>
      </c>
    </row>
    <row r="109" spans="1:13" ht="15.75" x14ac:dyDescent="0.2">
      <c r="A109" s="4" t="s">
        <v>8</v>
      </c>
      <c r="B109" s="4" t="s">
        <v>169</v>
      </c>
      <c r="C109" s="4">
        <v>1</v>
      </c>
      <c r="D109" s="4">
        <v>3188</v>
      </c>
      <c r="E109" s="4" t="s">
        <v>170</v>
      </c>
      <c r="F109" s="8">
        <v>380000</v>
      </c>
      <c r="G109" s="8" t="s">
        <v>701</v>
      </c>
      <c r="H109" s="8" t="s">
        <v>702</v>
      </c>
      <c r="I109" s="3" t="s">
        <v>619</v>
      </c>
      <c r="J109" s="2" t="s">
        <v>703</v>
      </c>
      <c r="K109" s="10">
        <f>ROUND(7600,2)</f>
        <v>7600</v>
      </c>
      <c r="L109" s="4">
        <v>300120</v>
      </c>
      <c r="M109" s="4">
        <v>11113</v>
      </c>
    </row>
    <row r="110" spans="1:13" ht="15.75" x14ac:dyDescent="0.25">
      <c r="A110" s="4" t="s">
        <v>8</v>
      </c>
      <c r="B110" s="4" t="s">
        <v>167</v>
      </c>
      <c r="C110" s="4">
        <v>1</v>
      </c>
      <c r="D110" s="4">
        <v>9453</v>
      </c>
      <c r="E110" s="4" t="s">
        <v>168</v>
      </c>
      <c r="F110" s="8">
        <v>390000</v>
      </c>
      <c r="G110" s="8" t="s">
        <v>624</v>
      </c>
      <c r="H110" s="8" t="s">
        <v>625</v>
      </c>
      <c r="I110" s="1" t="s">
        <v>659</v>
      </c>
      <c r="J110" s="2" t="e">
        <v>#N/A</v>
      </c>
      <c r="K110" s="10">
        <f>ROUND(29232,2)</f>
        <v>29232</v>
      </c>
      <c r="L110" s="4">
        <v>200304</v>
      </c>
      <c r="M110" s="4" t="s">
        <v>131</v>
      </c>
    </row>
    <row r="111" spans="1:13" ht="15.75" x14ac:dyDescent="0.25">
      <c r="A111" s="4" t="s">
        <v>8</v>
      </c>
      <c r="B111" s="4" t="s">
        <v>187</v>
      </c>
      <c r="C111" s="4">
        <v>1</v>
      </c>
      <c r="D111" s="4">
        <v>8106</v>
      </c>
      <c r="E111" s="4" t="s">
        <v>188</v>
      </c>
      <c r="F111" s="8">
        <v>390000</v>
      </c>
      <c r="G111" s="8" t="s">
        <v>664</v>
      </c>
      <c r="H111" s="8" t="s">
        <v>664</v>
      </c>
      <c r="I111" s="1" t="s">
        <v>659</v>
      </c>
      <c r="J111" s="2" t="e">
        <v>#N/A</v>
      </c>
      <c r="K111" s="10">
        <f>ROUND(84822.42,2)</f>
        <v>84822.42</v>
      </c>
      <c r="L111" s="4">
        <v>401600</v>
      </c>
      <c r="M111" s="4" t="s">
        <v>189</v>
      </c>
    </row>
    <row r="112" spans="1:13" ht="15.75" x14ac:dyDescent="0.2">
      <c r="A112" s="4" t="s">
        <v>132</v>
      </c>
      <c r="B112" s="4" t="s">
        <v>172</v>
      </c>
      <c r="C112" s="4">
        <v>1</v>
      </c>
      <c r="D112" s="4">
        <v>15579</v>
      </c>
      <c r="E112" s="4" t="s">
        <v>173</v>
      </c>
      <c r="F112" s="8">
        <v>270000</v>
      </c>
      <c r="G112" s="8" t="s">
        <v>621</v>
      </c>
      <c r="H112" s="8" t="s">
        <v>622</v>
      </c>
      <c r="I112" s="3" t="s">
        <v>619</v>
      </c>
      <c r="J112" s="2" t="s">
        <v>704</v>
      </c>
      <c r="K112" s="10">
        <f>ROUND(19837.83,2)</f>
        <v>19837.830000000002</v>
      </c>
      <c r="L112" s="4">
        <v>402001</v>
      </c>
      <c r="M112" s="4">
        <v>11872</v>
      </c>
    </row>
    <row r="113" spans="1:13" ht="15.75" x14ac:dyDescent="0.2">
      <c r="A113" s="4" t="s">
        <v>132</v>
      </c>
      <c r="B113" s="4" t="s">
        <v>136</v>
      </c>
      <c r="C113" s="4">
        <v>1</v>
      </c>
      <c r="D113" s="4">
        <v>1872</v>
      </c>
      <c r="E113" s="4" t="s">
        <v>137</v>
      </c>
      <c r="F113" s="8">
        <v>261500</v>
      </c>
      <c r="G113" s="8" t="s">
        <v>705</v>
      </c>
      <c r="H113" s="8" t="s">
        <v>706</v>
      </c>
      <c r="I113" s="3" t="s">
        <v>659</v>
      </c>
      <c r="J113" s="2" t="s">
        <v>707</v>
      </c>
      <c r="K113" s="10">
        <f>ROUND(15000,2)</f>
        <v>15000</v>
      </c>
      <c r="L113" s="4">
        <v>402201</v>
      </c>
      <c r="M113" s="4">
        <v>10072</v>
      </c>
    </row>
    <row r="114" spans="1:13" ht="15.75" x14ac:dyDescent="0.2">
      <c r="A114" s="4" t="s">
        <v>132</v>
      </c>
      <c r="B114" s="4" t="s">
        <v>185</v>
      </c>
      <c r="C114" s="4">
        <v>1</v>
      </c>
      <c r="D114" s="4">
        <v>14222</v>
      </c>
      <c r="E114" s="4" t="s">
        <v>186</v>
      </c>
      <c r="F114" s="8">
        <v>270000</v>
      </c>
      <c r="G114" s="8" t="s">
        <v>621</v>
      </c>
      <c r="H114" s="8" t="s">
        <v>622</v>
      </c>
      <c r="I114" s="3" t="s">
        <v>628</v>
      </c>
      <c r="J114" s="2" t="s">
        <v>708</v>
      </c>
      <c r="K114" s="10">
        <f>ROUND(7920,2)</f>
        <v>7920</v>
      </c>
      <c r="L114" s="4">
        <v>402004</v>
      </c>
      <c r="M114" s="4">
        <v>11491</v>
      </c>
    </row>
    <row r="115" spans="1:13" ht="15.75" x14ac:dyDescent="0.2">
      <c r="A115" s="4" t="s">
        <v>132</v>
      </c>
      <c r="B115" s="4" t="s">
        <v>181</v>
      </c>
      <c r="C115" s="4">
        <v>1</v>
      </c>
      <c r="D115" s="4">
        <v>1644</v>
      </c>
      <c r="E115" s="4" t="s">
        <v>182</v>
      </c>
      <c r="F115" s="8">
        <v>150000</v>
      </c>
      <c r="G115" s="8" t="s">
        <v>632</v>
      </c>
      <c r="H115" s="8" t="s">
        <v>633</v>
      </c>
      <c r="I115" s="3" t="s">
        <v>619</v>
      </c>
      <c r="J115" s="2" t="s">
        <v>709</v>
      </c>
      <c r="K115" s="10">
        <f>ROUND(8000,2)</f>
        <v>8000</v>
      </c>
      <c r="L115" s="4">
        <v>401020</v>
      </c>
      <c r="M115" s="4">
        <v>11139</v>
      </c>
    </row>
    <row r="116" spans="1:13" ht="15.75" x14ac:dyDescent="0.2">
      <c r="A116" s="4" t="s">
        <v>135</v>
      </c>
      <c r="B116" s="4" t="s">
        <v>159</v>
      </c>
      <c r="C116" s="4">
        <v>1</v>
      </c>
      <c r="D116" s="4">
        <v>8233</v>
      </c>
      <c r="E116" s="4" t="s">
        <v>160</v>
      </c>
      <c r="F116" s="8">
        <v>182020</v>
      </c>
      <c r="G116" s="8" t="s">
        <v>694</v>
      </c>
      <c r="H116" s="8" t="s">
        <v>695</v>
      </c>
      <c r="I116" s="3" t="s">
        <v>659</v>
      </c>
      <c r="J116" s="2" t="s">
        <v>710</v>
      </c>
      <c r="K116" s="10">
        <f>ROUND(15456,2)</f>
        <v>15456</v>
      </c>
      <c r="L116" s="4">
        <v>400401</v>
      </c>
      <c r="M116" s="4">
        <v>10862</v>
      </c>
    </row>
    <row r="117" spans="1:13" ht="15.75" x14ac:dyDescent="0.2">
      <c r="A117" s="4" t="s">
        <v>135</v>
      </c>
      <c r="B117" s="4" t="s">
        <v>177</v>
      </c>
      <c r="C117" s="4">
        <v>1</v>
      </c>
      <c r="D117" s="4">
        <v>1900</v>
      </c>
      <c r="E117" s="4" t="s">
        <v>178</v>
      </c>
      <c r="F117" s="8">
        <v>350000</v>
      </c>
      <c r="G117" s="8" t="s">
        <v>711</v>
      </c>
      <c r="H117" s="8" t="s">
        <v>712</v>
      </c>
      <c r="I117" s="3" t="s">
        <v>659</v>
      </c>
      <c r="J117" s="2" t="s">
        <v>713</v>
      </c>
      <c r="K117" s="10">
        <f>ROUND(9600,2)</f>
        <v>9600</v>
      </c>
      <c r="L117" s="4">
        <v>201202</v>
      </c>
      <c r="M117" s="4">
        <v>10879</v>
      </c>
    </row>
    <row r="118" spans="1:13" ht="15.75" x14ac:dyDescent="0.25">
      <c r="A118" s="4" t="s">
        <v>135</v>
      </c>
      <c r="B118" s="4" t="s">
        <v>203</v>
      </c>
      <c r="C118" s="4">
        <v>1</v>
      </c>
      <c r="D118" s="4">
        <v>6967</v>
      </c>
      <c r="E118" s="4" t="s">
        <v>78</v>
      </c>
      <c r="F118" s="8">
        <v>150000</v>
      </c>
      <c r="G118" s="8" t="s">
        <v>632</v>
      </c>
      <c r="H118" s="8" t="s">
        <v>633</v>
      </c>
      <c r="I118" s="1" t="s">
        <v>659</v>
      </c>
      <c r="J118" s="2" t="e">
        <v>#N/A</v>
      </c>
      <c r="K118" s="10">
        <f>ROUND(25161.32,2)</f>
        <v>25161.32</v>
      </c>
      <c r="L118" s="4">
        <v>401007</v>
      </c>
      <c r="M118" s="4" t="s">
        <v>30</v>
      </c>
    </row>
    <row r="119" spans="1:13" ht="15.75" x14ac:dyDescent="0.2">
      <c r="A119" s="4" t="s">
        <v>84</v>
      </c>
      <c r="B119" s="4" t="s">
        <v>129</v>
      </c>
      <c r="C119" s="4">
        <v>1</v>
      </c>
      <c r="D119" s="4">
        <v>13933</v>
      </c>
      <c r="E119" s="4" t="s">
        <v>130</v>
      </c>
      <c r="F119" s="8">
        <v>290000</v>
      </c>
      <c r="G119" s="8" t="s">
        <v>636</v>
      </c>
      <c r="H119" s="8" t="s">
        <v>637</v>
      </c>
      <c r="I119" s="3" t="s">
        <v>619</v>
      </c>
      <c r="J119" s="2" t="s">
        <v>714</v>
      </c>
      <c r="K119" s="10">
        <f>ROUND(5900,2)</f>
        <v>5900</v>
      </c>
      <c r="L119" s="4">
        <v>401801</v>
      </c>
      <c r="M119" s="4">
        <v>11329</v>
      </c>
    </row>
    <row r="120" spans="1:13" ht="15.75" x14ac:dyDescent="0.2">
      <c r="A120" s="4" t="s">
        <v>84</v>
      </c>
      <c r="B120" s="4" t="s">
        <v>179</v>
      </c>
      <c r="C120" s="4">
        <v>1</v>
      </c>
      <c r="D120" s="4">
        <v>6803</v>
      </c>
      <c r="E120" s="4" t="s">
        <v>180</v>
      </c>
      <c r="F120" s="8">
        <v>270000</v>
      </c>
      <c r="G120" s="8" t="s">
        <v>621</v>
      </c>
      <c r="H120" s="8" t="s">
        <v>622</v>
      </c>
      <c r="I120" s="3" t="s">
        <v>619</v>
      </c>
      <c r="J120" s="2" t="s">
        <v>714</v>
      </c>
      <c r="K120" s="10">
        <f>ROUND(38221.17,2)</f>
        <v>38221.17</v>
      </c>
      <c r="L120" s="4">
        <v>402010</v>
      </c>
      <c r="M120" s="4">
        <v>11329</v>
      </c>
    </row>
    <row r="121" spans="1:13" ht="15.75" x14ac:dyDescent="0.25">
      <c r="A121" s="4" t="s">
        <v>45</v>
      </c>
      <c r="B121" s="4" t="s">
        <v>197</v>
      </c>
      <c r="C121" s="4">
        <v>1</v>
      </c>
      <c r="D121" s="4">
        <v>6748</v>
      </c>
      <c r="E121" s="4" t="s">
        <v>46</v>
      </c>
      <c r="F121" s="8">
        <v>390000</v>
      </c>
      <c r="G121" s="8" t="s">
        <v>664</v>
      </c>
      <c r="H121" s="8" t="s">
        <v>664</v>
      </c>
      <c r="I121" s="1" t="s">
        <v>628</v>
      </c>
      <c r="J121" s="2" t="e">
        <v>#N/A</v>
      </c>
      <c r="K121" s="10">
        <f>ROUND(9320.85,2)</f>
        <v>9320.85</v>
      </c>
      <c r="L121" s="4">
        <v>401600</v>
      </c>
      <c r="M121" s="4" t="s">
        <v>198</v>
      </c>
    </row>
    <row r="122" spans="1:13" ht="15.75" x14ac:dyDescent="0.25">
      <c r="A122" s="4" t="s">
        <v>45</v>
      </c>
      <c r="B122" s="4" t="s">
        <v>199</v>
      </c>
      <c r="C122" s="4">
        <v>1</v>
      </c>
      <c r="D122" s="4">
        <v>6748</v>
      </c>
      <c r="E122" s="4" t="s">
        <v>46</v>
      </c>
      <c r="F122" s="8">
        <v>390000</v>
      </c>
      <c r="G122" s="8" t="s">
        <v>664</v>
      </c>
      <c r="H122" s="8" t="s">
        <v>664</v>
      </c>
      <c r="I122" s="1" t="s">
        <v>628</v>
      </c>
      <c r="J122" s="2" t="e">
        <v>#N/A</v>
      </c>
      <c r="K122" s="10">
        <f>ROUND(13129.97,2)</f>
        <v>13129.97</v>
      </c>
      <c r="L122" s="4">
        <v>401600</v>
      </c>
      <c r="M122" s="4" t="s">
        <v>200</v>
      </c>
    </row>
    <row r="123" spans="1:13" ht="15.75" x14ac:dyDescent="0.2">
      <c r="A123" s="4" t="s">
        <v>45</v>
      </c>
      <c r="B123" s="4" t="s">
        <v>113</v>
      </c>
      <c r="C123" s="4">
        <v>1</v>
      </c>
      <c r="D123" s="4">
        <v>7656</v>
      </c>
      <c r="E123" s="4" t="s">
        <v>65</v>
      </c>
      <c r="F123" s="8">
        <v>190000</v>
      </c>
      <c r="G123" s="8" t="s">
        <v>641</v>
      </c>
      <c r="H123" s="8" t="s">
        <v>688</v>
      </c>
      <c r="I123" s="3" t="s">
        <v>659</v>
      </c>
      <c r="J123" s="2" t="s">
        <v>663</v>
      </c>
      <c r="K123" s="10">
        <f>ROUND(5450,2)</f>
        <v>5450</v>
      </c>
      <c r="L123" s="4">
        <v>500810</v>
      </c>
      <c r="M123" s="4">
        <v>12328</v>
      </c>
    </row>
    <row r="124" spans="1:13" ht="15.75" x14ac:dyDescent="0.2">
      <c r="A124" s="4" t="s">
        <v>45</v>
      </c>
      <c r="B124" s="4" t="s">
        <v>104</v>
      </c>
      <c r="C124" s="4">
        <v>1</v>
      </c>
      <c r="D124" s="4">
        <v>13223</v>
      </c>
      <c r="E124" s="4" t="s">
        <v>105</v>
      </c>
      <c r="F124" s="8">
        <v>260000</v>
      </c>
      <c r="G124" s="8" t="s">
        <v>630</v>
      </c>
      <c r="H124" s="8" t="s">
        <v>662</v>
      </c>
      <c r="I124" s="3" t="s">
        <v>659</v>
      </c>
      <c r="J124" s="2" t="s">
        <v>663</v>
      </c>
      <c r="K124" s="10">
        <f>ROUND(7700,2)</f>
        <v>7700</v>
      </c>
      <c r="L124" s="4">
        <v>100304</v>
      </c>
      <c r="M124" s="4">
        <v>12328</v>
      </c>
    </row>
    <row r="125" spans="1:13" ht="15.75" x14ac:dyDescent="0.25">
      <c r="A125" s="4" t="s">
        <v>45</v>
      </c>
      <c r="B125" s="4" t="s">
        <v>208</v>
      </c>
      <c r="C125" s="4">
        <v>1</v>
      </c>
      <c r="D125" s="4">
        <v>16092</v>
      </c>
      <c r="E125" s="4" t="s">
        <v>118</v>
      </c>
      <c r="F125" s="8">
        <v>390000</v>
      </c>
      <c r="G125" s="8" t="s">
        <v>624</v>
      </c>
      <c r="H125" s="8" t="s">
        <v>625</v>
      </c>
      <c r="I125" s="1" t="s">
        <v>619</v>
      </c>
      <c r="J125" s="2" t="e">
        <v>#N/A</v>
      </c>
      <c r="K125" s="10">
        <f>ROUND(5100,2)</f>
        <v>5100</v>
      </c>
      <c r="L125" s="4">
        <v>200311</v>
      </c>
      <c r="M125" s="4" t="s">
        <v>209</v>
      </c>
    </row>
    <row r="126" spans="1:13" ht="15.75" x14ac:dyDescent="0.2">
      <c r="A126" s="4" t="s">
        <v>40</v>
      </c>
      <c r="B126" s="4" t="s">
        <v>214</v>
      </c>
      <c r="C126" s="4">
        <v>1</v>
      </c>
      <c r="D126" s="4">
        <v>16823</v>
      </c>
      <c r="E126" s="4" t="s">
        <v>145</v>
      </c>
      <c r="F126" s="8">
        <v>191600</v>
      </c>
      <c r="G126" s="8" t="s">
        <v>665</v>
      </c>
      <c r="H126" s="8" t="s">
        <v>666</v>
      </c>
      <c r="I126" s="3" t="s">
        <v>619</v>
      </c>
      <c r="J126" s="2" t="s">
        <v>667</v>
      </c>
      <c r="K126" s="10">
        <f>ROUND(24180,2)</f>
        <v>24180</v>
      </c>
      <c r="L126" s="4">
        <v>400800</v>
      </c>
      <c r="M126" s="4">
        <v>11381</v>
      </c>
    </row>
    <row r="127" spans="1:13" ht="15.75" x14ac:dyDescent="0.2">
      <c r="A127" s="4" t="s">
        <v>40</v>
      </c>
      <c r="B127" s="4" t="s">
        <v>215</v>
      </c>
      <c r="C127" s="4">
        <v>1</v>
      </c>
      <c r="D127" s="4">
        <v>2821</v>
      </c>
      <c r="E127" s="4" t="s">
        <v>216</v>
      </c>
      <c r="F127" s="8">
        <v>150000</v>
      </c>
      <c r="G127" s="8" t="s">
        <v>632</v>
      </c>
      <c r="H127" s="8" t="s">
        <v>633</v>
      </c>
      <c r="I127" s="3" t="s">
        <v>628</v>
      </c>
      <c r="J127" s="2" t="s">
        <v>715</v>
      </c>
      <c r="K127" s="10">
        <f>ROUND(23364,2)</f>
        <v>23364</v>
      </c>
      <c r="L127" s="4">
        <v>401020</v>
      </c>
      <c r="M127" s="4">
        <v>10472</v>
      </c>
    </row>
    <row r="128" spans="1:13" ht="15.75" x14ac:dyDescent="0.2">
      <c r="A128" s="4" t="s">
        <v>123</v>
      </c>
      <c r="B128" s="4" t="s">
        <v>190</v>
      </c>
      <c r="C128" s="4">
        <v>1</v>
      </c>
      <c r="D128" s="4">
        <v>16059</v>
      </c>
      <c r="E128" s="4" t="s">
        <v>191</v>
      </c>
      <c r="F128" s="8">
        <v>270000</v>
      </c>
      <c r="G128" s="8" t="s">
        <v>621</v>
      </c>
      <c r="H128" s="8" t="s">
        <v>622</v>
      </c>
      <c r="I128" s="3" t="s">
        <v>659</v>
      </c>
      <c r="J128" s="2" t="s">
        <v>716</v>
      </c>
      <c r="K128" s="10">
        <f>ROUND(35000,2)</f>
        <v>35000</v>
      </c>
      <c r="L128" s="4">
        <v>402001</v>
      </c>
      <c r="M128" s="4">
        <v>11285</v>
      </c>
    </row>
    <row r="129" spans="1:13" ht="15.75" x14ac:dyDescent="0.2">
      <c r="A129" s="4" t="s">
        <v>123</v>
      </c>
      <c r="B129" s="4" t="s">
        <v>218</v>
      </c>
      <c r="C129" s="4">
        <v>1</v>
      </c>
      <c r="D129" s="4">
        <v>16656</v>
      </c>
      <c r="E129" s="4" t="s">
        <v>125</v>
      </c>
      <c r="F129" s="8">
        <v>220000</v>
      </c>
      <c r="G129" s="8" t="s">
        <v>717</v>
      </c>
      <c r="H129" s="8" t="s">
        <v>627</v>
      </c>
      <c r="I129" s="3" t="s">
        <v>619</v>
      </c>
      <c r="J129" s="2" t="s">
        <v>704</v>
      </c>
      <c r="K129" s="10">
        <f>ROUND(9200,2)</f>
        <v>9200</v>
      </c>
      <c r="L129" s="4">
        <v>401000</v>
      </c>
      <c r="M129" s="4">
        <v>11872</v>
      </c>
    </row>
    <row r="130" spans="1:13" ht="15.75" x14ac:dyDescent="0.2">
      <c r="A130" s="4" t="s">
        <v>155</v>
      </c>
      <c r="B130" s="4" t="s">
        <v>154</v>
      </c>
      <c r="C130" s="4">
        <v>1</v>
      </c>
      <c r="D130" s="4">
        <v>4625</v>
      </c>
      <c r="E130" s="4" t="s">
        <v>156</v>
      </c>
      <c r="F130" s="8">
        <v>150000</v>
      </c>
      <c r="G130" s="8" t="s">
        <v>632</v>
      </c>
      <c r="H130" s="8" t="s">
        <v>633</v>
      </c>
      <c r="I130" s="3" t="s">
        <v>619</v>
      </c>
      <c r="J130" s="2" t="s">
        <v>718</v>
      </c>
      <c r="K130" s="10">
        <f>ROUND(6750,2)</f>
        <v>6750</v>
      </c>
      <c r="L130" s="4">
        <v>401007</v>
      </c>
      <c r="M130" s="4">
        <v>13044</v>
      </c>
    </row>
    <row r="131" spans="1:13" ht="15.75" x14ac:dyDescent="0.2">
      <c r="A131" s="4" t="s">
        <v>155</v>
      </c>
      <c r="B131" s="4" t="s">
        <v>183</v>
      </c>
      <c r="C131" s="4">
        <v>1</v>
      </c>
      <c r="D131" s="4">
        <v>12608</v>
      </c>
      <c r="E131" s="4" t="s">
        <v>184</v>
      </c>
      <c r="F131" s="8">
        <v>270000</v>
      </c>
      <c r="G131" s="8" t="s">
        <v>621</v>
      </c>
      <c r="H131" s="8" t="s">
        <v>622</v>
      </c>
      <c r="I131" s="3" t="s">
        <v>619</v>
      </c>
      <c r="J131" s="2" t="s">
        <v>718</v>
      </c>
      <c r="K131" s="10">
        <f>ROUND(5200,2)</f>
        <v>5200</v>
      </c>
      <c r="L131" s="4">
        <v>402003</v>
      </c>
      <c r="M131" s="4">
        <v>13044</v>
      </c>
    </row>
    <row r="132" spans="1:13" ht="15.75" x14ac:dyDescent="0.25">
      <c r="A132" s="4" t="s">
        <v>155</v>
      </c>
      <c r="B132" s="4" t="s">
        <v>222</v>
      </c>
      <c r="C132" s="4">
        <v>1</v>
      </c>
      <c r="D132" s="4">
        <v>6748</v>
      </c>
      <c r="E132" s="4" t="s">
        <v>46</v>
      </c>
      <c r="F132" s="8">
        <v>390000</v>
      </c>
      <c r="G132" s="8" t="s">
        <v>624</v>
      </c>
      <c r="H132" s="8" t="s">
        <v>625</v>
      </c>
      <c r="I132" s="1" t="s">
        <v>659</v>
      </c>
      <c r="J132" s="2" t="e">
        <v>#N/A</v>
      </c>
      <c r="K132" s="10">
        <f>ROUND(276695.39,2)</f>
        <v>276695.39</v>
      </c>
      <c r="L132" s="4">
        <v>200304</v>
      </c>
      <c r="M132" s="4" t="s">
        <v>217</v>
      </c>
    </row>
    <row r="133" spans="1:13" ht="15.75" x14ac:dyDescent="0.2">
      <c r="A133" s="4" t="s">
        <v>155</v>
      </c>
      <c r="B133" s="4" t="s">
        <v>193</v>
      </c>
      <c r="C133" s="4">
        <v>1</v>
      </c>
      <c r="D133" s="4">
        <v>423</v>
      </c>
      <c r="E133" s="4" t="s">
        <v>101</v>
      </c>
      <c r="F133" s="8">
        <v>999999</v>
      </c>
      <c r="G133" s="8" t="s">
        <v>648</v>
      </c>
      <c r="H133" s="8" t="s">
        <v>648</v>
      </c>
      <c r="I133" s="3" t="s">
        <v>628</v>
      </c>
      <c r="J133" s="2" t="s">
        <v>719</v>
      </c>
      <c r="K133" s="10">
        <f>ROUND(12000,2)</f>
        <v>12000</v>
      </c>
      <c r="L133" s="4">
        <v>500303</v>
      </c>
      <c r="M133" s="4">
        <v>11873</v>
      </c>
    </row>
    <row r="134" spans="1:13" ht="15.75" x14ac:dyDescent="0.2">
      <c r="A134" s="4" t="s">
        <v>176</v>
      </c>
      <c r="B134" s="4" t="s">
        <v>175</v>
      </c>
      <c r="C134" s="4">
        <v>1</v>
      </c>
      <c r="D134" s="4">
        <v>1342</v>
      </c>
      <c r="E134" s="4" t="s">
        <v>162</v>
      </c>
      <c r="F134" s="8">
        <v>182020</v>
      </c>
      <c r="G134" s="8" t="s">
        <v>694</v>
      </c>
      <c r="H134" s="8" t="s">
        <v>695</v>
      </c>
      <c r="I134" s="3" t="s">
        <v>659</v>
      </c>
      <c r="J134" s="2" t="s">
        <v>696</v>
      </c>
      <c r="K134" s="10">
        <f>ROUND(1117.5,2)</f>
        <v>1117.5</v>
      </c>
      <c r="L134" s="4">
        <v>400401</v>
      </c>
      <c r="M134" s="4">
        <v>10883</v>
      </c>
    </row>
    <row r="135" spans="1:13" ht="15.75" x14ac:dyDescent="0.2">
      <c r="A135" s="4" t="s">
        <v>176</v>
      </c>
      <c r="B135" s="4" t="s">
        <v>175</v>
      </c>
      <c r="C135" s="4">
        <v>2</v>
      </c>
      <c r="D135" s="4">
        <v>1342</v>
      </c>
      <c r="E135" s="4" t="s">
        <v>162</v>
      </c>
      <c r="F135" s="8">
        <v>182020</v>
      </c>
      <c r="G135" s="8" t="s">
        <v>694</v>
      </c>
      <c r="H135" s="8" t="s">
        <v>695</v>
      </c>
      <c r="I135" s="3" t="s">
        <v>659</v>
      </c>
      <c r="J135" s="2" t="s">
        <v>696</v>
      </c>
      <c r="K135" s="10">
        <f>ROUND(670.5,2)</f>
        <v>670.5</v>
      </c>
      <c r="L135" s="4">
        <v>400401</v>
      </c>
      <c r="M135" s="4">
        <v>10883</v>
      </c>
    </row>
    <row r="136" spans="1:13" ht="15.75" x14ac:dyDescent="0.2">
      <c r="A136" s="4" t="s">
        <v>176</v>
      </c>
      <c r="B136" s="4" t="s">
        <v>175</v>
      </c>
      <c r="C136" s="4">
        <v>3</v>
      </c>
      <c r="D136" s="4">
        <v>1342</v>
      </c>
      <c r="E136" s="4" t="s">
        <v>162</v>
      </c>
      <c r="F136" s="8">
        <v>182020</v>
      </c>
      <c r="G136" s="8" t="s">
        <v>694</v>
      </c>
      <c r="H136" s="8" t="s">
        <v>695</v>
      </c>
      <c r="I136" s="3" t="s">
        <v>659</v>
      </c>
      <c r="J136" s="2" t="s">
        <v>696</v>
      </c>
      <c r="K136" s="10">
        <f>ROUND(150,2)</f>
        <v>150</v>
      </c>
      <c r="L136" s="4">
        <v>400401</v>
      </c>
      <c r="M136" s="4">
        <v>10883</v>
      </c>
    </row>
    <row r="137" spans="1:13" ht="15.75" x14ac:dyDescent="0.2">
      <c r="A137" s="4" t="s">
        <v>176</v>
      </c>
      <c r="B137" s="4" t="s">
        <v>175</v>
      </c>
      <c r="C137" s="4">
        <v>4</v>
      </c>
      <c r="D137" s="4">
        <v>1342</v>
      </c>
      <c r="E137" s="4" t="s">
        <v>162</v>
      </c>
      <c r="F137" s="8">
        <v>182020</v>
      </c>
      <c r="G137" s="8" t="s">
        <v>694</v>
      </c>
      <c r="H137" s="8" t="s">
        <v>695</v>
      </c>
      <c r="I137" s="3" t="s">
        <v>659</v>
      </c>
      <c r="J137" s="2" t="s">
        <v>696</v>
      </c>
      <c r="K137" s="10">
        <f>ROUND(4411.5,2)</f>
        <v>4411.5</v>
      </c>
      <c r="L137" s="4">
        <v>400401</v>
      </c>
      <c r="M137" s="4">
        <v>10883</v>
      </c>
    </row>
    <row r="138" spans="1:13" ht="15.75" x14ac:dyDescent="0.25">
      <c r="A138" s="4" t="s">
        <v>176</v>
      </c>
      <c r="B138" s="4" t="s">
        <v>226</v>
      </c>
      <c r="C138" s="4">
        <v>1</v>
      </c>
      <c r="D138" s="4">
        <v>6967</v>
      </c>
      <c r="E138" s="4" t="s">
        <v>78</v>
      </c>
      <c r="F138" s="8">
        <v>150000</v>
      </c>
      <c r="G138" s="8" t="s">
        <v>632</v>
      </c>
      <c r="H138" s="8" t="s">
        <v>633</v>
      </c>
      <c r="I138" s="1" t="s">
        <v>659</v>
      </c>
      <c r="J138" s="2" t="e">
        <v>#N/A</v>
      </c>
      <c r="K138" s="10">
        <f>ROUND(14232,2)</f>
        <v>14232</v>
      </c>
      <c r="L138" s="4">
        <v>401007</v>
      </c>
      <c r="M138" s="4" t="s">
        <v>227</v>
      </c>
    </row>
    <row r="139" spans="1:13" ht="15.75" x14ac:dyDescent="0.25">
      <c r="A139" s="4" t="s">
        <v>176</v>
      </c>
      <c r="B139" s="4" t="s">
        <v>206</v>
      </c>
      <c r="C139" s="4">
        <v>1</v>
      </c>
      <c r="D139" s="4">
        <v>8106</v>
      </c>
      <c r="E139" s="4" t="s">
        <v>188</v>
      </c>
      <c r="F139" s="8">
        <v>390000</v>
      </c>
      <c r="G139" s="8" t="s">
        <v>624</v>
      </c>
      <c r="H139" s="8" t="s">
        <v>625</v>
      </c>
      <c r="I139" s="1" t="s">
        <v>659</v>
      </c>
      <c r="J139" s="2" t="e">
        <v>#N/A</v>
      </c>
      <c r="K139" s="10">
        <f>ROUND(109359.99,2)</f>
        <v>109359.99</v>
      </c>
      <c r="L139" s="4">
        <v>200304</v>
      </c>
      <c r="M139" s="4" t="s">
        <v>207</v>
      </c>
    </row>
    <row r="140" spans="1:13" ht="15.75" x14ac:dyDescent="0.2">
      <c r="A140" s="4" t="s">
        <v>176</v>
      </c>
      <c r="B140" s="4" t="s">
        <v>201</v>
      </c>
      <c r="C140" s="4">
        <v>1</v>
      </c>
      <c r="D140" s="4">
        <v>16737</v>
      </c>
      <c r="E140" s="4" t="s">
        <v>202</v>
      </c>
      <c r="F140" s="8">
        <v>181800</v>
      </c>
      <c r="G140" s="8" t="s">
        <v>617</v>
      </c>
      <c r="H140" s="8" t="s">
        <v>618</v>
      </c>
      <c r="I140" s="3" t="s">
        <v>619</v>
      </c>
      <c r="J140" s="2" t="s">
        <v>720</v>
      </c>
      <c r="K140" s="10">
        <f>ROUND(110000,2)</f>
        <v>110000</v>
      </c>
      <c r="L140" s="4">
        <v>400110</v>
      </c>
      <c r="M140" s="4">
        <v>12590</v>
      </c>
    </row>
    <row r="141" spans="1:13" ht="15.75" x14ac:dyDescent="0.2">
      <c r="A141" s="4" t="s">
        <v>96</v>
      </c>
      <c r="B141" s="4" t="s">
        <v>231</v>
      </c>
      <c r="C141" s="4">
        <v>1</v>
      </c>
      <c r="D141" s="4">
        <v>15919</v>
      </c>
      <c r="E141" s="4" t="s">
        <v>232</v>
      </c>
      <c r="F141" s="8">
        <v>191600</v>
      </c>
      <c r="G141" s="8" t="s">
        <v>665</v>
      </c>
      <c r="H141" s="8" t="s">
        <v>666</v>
      </c>
      <c r="I141" s="3" t="s">
        <v>619</v>
      </c>
      <c r="J141" s="2" t="s">
        <v>721</v>
      </c>
      <c r="K141" s="10">
        <f>ROUND(6650,2)</f>
        <v>6650</v>
      </c>
      <c r="L141" s="4">
        <v>400800</v>
      </c>
      <c r="M141" s="4">
        <v>11323</v>
      </c>
    </row>
    <row r="142" spans="1:13" ht="15.75" x14ac:dyDescent="0.25">
      <c r="A142" s="4" t="s">
        <v>96</v>
      </c>
      <c r="B142" s="4" t="s">
        <v>196</v>
      </c>
      <c r="C142" s="4">
        <v>1</v>
      </c>
      <c r="D142" s="4">
        <v>6748</v>
      </c>
      <c r="E142" s="4" t="s">
        <v>46</v>
      </c>
      <c r="F142" s="8">
        <v>390000</v>
      </c>
      <c r="G142" s="8" t="s">
        <v>624</v>
      </c>
      <c r="H142" s="8" t="s">
        <v>625</v>
      </c>
      <c r="I142" s="1" t="s">
        <v>659</v>
      </c>
      <c r="J142" s="2" t="e">
        <v>#N/A</v>
      </c>
      <c r="K142" s="10">
        <f>ROUND(35489.68,2)</f>
        <v>35489.68</v>
      </c>
      <c r="L142" s="4">
        <v>200304</v>
      </c>
      <c r="M142" s="4" t="s">
        <v>9</v>
      </c>
    </row>
    <row r="143" spans="1:13" ht="15.75" x14ac:dyDescent="0.2">
      <c r="A143" s="4" t="s">
        <v>96</v>
      </c>
      <c r="B143" s="4" t="s">
        <v>239</v>
      </c>
      <c r="C143" s="4">
        <v>1</v>
      </c>
      <c r="D143" s="4">
        <v>7216</v>
      </c>
      <c r="E143" s="4" t="s">
        <v>240</v>
      </c>
      <c r="F143" s="8">
        <v>999999</v>
      </c>
      <c r="G143" s="8" t="s">
        <v>648</v>
      </c>
      <c r="H143" s="8" t="s">
        <v>648</v>
      </c>
      <c r="I143" s="3" t="s">
        <v>628</v>
      </c>
      <c r="J143" s="2" t="s">
        <v>672</v>
      </c>
      <c r="K143" s="10">
        <f>ROUND(185360.5,2)</f>
        <v>185360.5</v>
      </c>
      <c r="L143" s="4">
        <v>500303</v>
      </c>
      <c r="M143" s="4">
        <v>13274</v>
      </c>
    </row>
    <row r="144" spans="1:13" ht="15.75" x14ac:dyDescent="0.2">
      <c r="A144" s="4" t="s">
        <v>96</v>
      </c>
      <c r="B144" s="4" t="s">
        <v>248</v>
      </c>
      <c r="C144" s="4">
        <v>1</v>
      </c>
      <c r="D144" s="4">
        <v>16949</v>
      </c>
      <c r="E144" s="4" t="s">
        <v>247</v>
      </c>
      <c r="F144" s="8">
        <v>150000</v>
      </c>
      <c r="G144" s="8" t="s">
        <v>632</v>
      </c>
      <c r="H144" s="8" t="s">
        <v>633</v>
      </c>
      <c r="I144" s="3" t="s">
        <v>659</v>
      </c>
      <c r="J144" s="2" t="s">
        <v>722</v>
      </c>
      <c r="K144" s="10">
        <f>ROUND(7500,2)</f>
        <v>7500</v>
      </c>
      <c r="L144" s="4">
        <v>401007</v>
      </c>
      <c r="M144" s="4">
        <v>13261</v>
      </c>
    </row>
    <row r="145" spans="1:13" ht="15.75" x14ac:dyDescent="0.2">
      <c r="A145" s="4" t="s">
        <v>96</v>
      </c>
      <c r="B145" s="4" t="s">
        <v>249</v>
      </c>
      <c r="C145" s="4">
        <v>1</v>
      </c>
      <c r="D145" s="4">
        <v>7979</v>
      </c>
      <c r="E145" s="4" t="s">
        <v>250</v>
      </c>
      <c r="F145" s="8">
        <v>190000</v>
      </c>
      <c r="G145" s="8" t="s">
        <v>641</v>
      </c>
      <c r="H145" s="8" t="s">
        <v>642</v>
      </c>
      <c r="I145" s="3" t="s">
        <v>619</v>
      </c>
      <c r="J145" s="2" t="s">
        <v>655</v>
      </c>
      <c r="K145" s="10">
        <f>ROUND(15995,2)</f>
        <v>15995</v>
      </c>
      <c r="L145" s="4">
        <v>400710</v>
      </c>
      <c r="M145" s="4">
        <v>12642</v>
      </c>
    </row>
    <row r="146" spans="1:13" ht="15.75" x14ac:dyDescent="0.2">
      <c r="A146" s="4" t="s">
        <v>96</v>
      </c>
      <c r="B146" s="4" t="s">
        <v>251</v>
      </c>
      <c r="C146" s="4">
        <v>1</v>
      </c>
      <c r="D146" s="4">
        <v>16855</v>
      </c>
      <c r="E146" s="4" t="s">
        <v>252</v>
      </c>
      <c r="F146" s="8">
        <v>150000</v>
      </c>
      <c r="G146" s="8" t="s">
        <v>632</v>
      </c>
      <c r="H146" s="8" t="s">
        <v>633</v>
      </c>
      <c r="I146" s="3" t="s">
        <v>659</v>
      </c>
      <c r="J146" s="2" t="s">
        <v>722</v>
      </c>
      <c r="K146" s="10">
        <f>ROUND(7000,2)</f>
        <v>7000</v>
      </c>
      <c r="L146" s="4">
        <v>401007</v>
      </c>
      <c r="M146" s="4">
        <v>13261</v>
      </c>
    </row>
    <row r="147" spans="1:13" ht="15.75" x14ac:dyDescent="0.2">
      <c r="A147" s="4" t="s">
        <v>194</v>
      </c>
      <c r="B147" s="4" t="s">
        <v>234</v>
      </c>
      <c r="C147" s="4">
        <v>1</v>
      </c>
      <c r="D147" s="4">
        <v>815</v>
      </c>
      <c r="E147" s="4" t="s">
        <v>233</v>
      </c>
      <c r="F147" s="8">
        <v>261500</v>
      </c>
      <c r="G147" s="8" t="s">
        <v>705</v>
      </c>
      <c r="H147" s="8" t="s">
        <v>627</v>
      </c>
      <c r="I147" s="3" t="s">
        <v>659</v>
      </c>
      <c r="J147" s="2" t="s">
        <v>799</v>
      </c>
      <c r="K147" s="10">
        <f>ROUND(6000,2)</f>
        <v>6000</v>
      </c>
      <c r="L147" s="4">
        <v>401024</v>
      </c>
      <c r="M147" s="4">
        <v>13279</v>
      </c>
    </row>
    <row r="148" spans="1:13" ht="15.75" x14ac:dyDescent="0.2">
      <c r="A148" s="4" t="s">
        <v>194</v>
      </c>
      <c r="B148" s="4" t="s">
        <v>244</v>
      </c>
      <c r="C148" s="4">
        <v>1</v>
      </c>
      <c r="D148" s="4">
        <v>10176</v>
      </c>
      <c r="E148" s="4" t="s">
        <v>42</v>
      </c>
      <c r="F148" s="8">
        <v>270000</v>
      </c>
      <c r="G148" s="8" t="s">
        <v>621</v>
      </c>
      <c r="H148" s="8" t="s">
        <v>622</v>
      </c>
      <c r="I148" s="3" t="s">
        <v>619</v>
      </c>
      <c r="J148" s="2" t="s">
        <v>723</v>
      </c>
      <c r="K148" s="10">
        <f>ROUND(5900,2)</f>
        <v>5900</v>
      </c>
      <c r="L148" s="4">
        <v>402001</v>
      </c>
      <c r="M148" s="4">
        <v>11735</v>
      </c>
    </row>
    <row r="149" spans="1:13" ht="15.75" x14ac:dyDescent="0.2">
      <c r="A149" s="4" t="s">
        <v>194</v>
      </c>
      <c r="B149" s="4" t="s">
        <v>255</v>
      </c>
      <c r="C149" s="4">
        <v>1</v>
      </c>
      <c r="D149" s="4">
        <v>3529</v>
      </c>
      <c r="E149" s="4" t="s">
        <v>2</v>
      </c>
      <c r="F149" s="8">
        <v>390000</v>
      </c>
      <c r="G149" s="8" t="s">
        <v>664</v>
      </c>
      <c r="H149" s="8" t="s">
        <v>664</v>
      </c>
      <c r="I149" s="3" t="s">
        <v>659</v>
      </c>
      <c r="J149" s="2" t="s">
        <v>724</v>
      </c>
      <c r="K149" s="10">
        <f>ROUND(6882,2)</f>
        <v>6882</v>
      </c>
      <c r="L149" s="4">
        <v>401600</v>
      </c>
      <c r="M149" s="4">
        <v>11168</v>
      </c>
    </row>
    <row r="150" spans="1:13" ht="15.75" x14ac:dyDescent="0.2">
      <c r="A150" s="4" t="s">
        <v>194</v>
      </c>
      <c r="B150" s="4" t="s">
        <v>257</v>
      </c>
      <c r="C150" s="4">
        <v>1</v>
      </c>
      <c r="D150" s="4">
        <v>3529</v>
      </c>
      <c r="E150" s="4" t="s">
        <v>2</v>
      </c>
      <c r="F150" s="8">
        <v>390000</v>
      </c>
      <c r="G150" s="8" t="s">
        <v>664</v>
      </c>
      <c r="H150" s="8" t="s">
        <v>664</v>
      </c>
      <c r="I150" s="3" t="s">
        <v>659</v>
      </c>
      <c r="J150" s="2" t="s">
        <v>725</v>
      </c>
      <c r="K150" s="10">
        <f>ROUND(24880,2)</f>
        <v>24880</v>
      </c>
      <c r="L150" s="4">
        <v>401600</v>
      </c>
      <c r="M150" s="4">
        <v>11281</v>
      </c>
    </row>
    <row r="151" spans="1:13" ht="15.75" x14ac:dyDescent="0.2">
      <c r="A151" s="4" t="s">
        <v>194</v>
      </c>
      <c r="B151" s="4" t="s">
        <v>256</v>
      </c>
      <c r="C151" s="4">
        <v>1</v>
      </c>
      <c r="D151" s="4">
        <v>3529</v>
      </c>
      <c r="E151" s="4" t="s">
        <v>2</v>
      </c>
      <c r="F151" s="8">
        <v>390000</v>
      </c>
      <c r="G151" s="8" t="s">
        <v>664</v>
      </c>
      <c r="H151" s="8" t="s">
        <v>664</v>
      </c>
      <c r="I151" s="3" t="s">
        <v>659</v>
      </c>
      <c r="J151" s="2" t="s">
        <v>725</v>
      </c>
      <c r="K151" s="10">
        <f>ROUND(5398,2)</f>
        <v>5398</v>
      </c>
      <c r="L151" s="4">
        <v>401600</v>
      </c>
      <c r="M151" s="4">
        <v>11281</v>
      </c>
    </row>
    <row r="152" spans="1:13" ht="15.75" x14ac:dyDescent="0.25">
      <c r="A152" s="4" t="s">
        <v>194</v>
      </c>
      <c r="B152" s="4" t="s">
        <v>258</v>
      </c>
      <c r="C152" s="4">
        <v>1</v>
      </c>
      <c r="D152" s="4">
        <v>1353</v>
      </c>
      <c r="E152" s="4" t="s">
        <v>29</v>
      </c>
      <c r="F152" s="8">
        <v>390000</v>
      </c>
      <c r="G152" s="8" t="s">
        <v>664</v>
      </c>
      <c r="H152" s="8" t="s">
        <v>664</v>
      </c>
      <c r="I152" s="1" t="s">
        <v>659</v>
      </c>
      <c r="J152" s="2" t="e">
        <v>#N/A</v>
      </c>
      <c r="K152" s="10">
        <f>ROUND(9912.5,2)</f>
        <v>9912.5</v>
      </c>
      <c r="L152" s="4">
        <v>401600</v>
      </c>
      <c r="M152" s="4" t="s">
        <v>30</v>
      </c>
    </row>
    <row r="153" spans="1:13" ht="15.75" x14ac:dyDescent="0.2">
      <c r="A153" s="4" t="s">
        <v>194</v>
      </c>
      <c r="B153" s="4" t="s">
        <v>261</v>
      </c>
      <c r="C153" s="4">
        <v>1</v>
      </c>
      <c r="D153" s="4">
        <v>3529</v>
      </c>
      <c r="E153" s="4" t="s">
        <v>2</v>
      </c>
      <c r="F153" s="8">
        <v>390000</v>
      </c>
      <c r="G153" s="8" t="s">
        <v>664</v>
      </c>
      <c r="H153" s="8" t="s">
        <v>664</v>
      </c>
      <c r="I153" s="3" t="s">
        <v>659</v>
      </c>
      <c r="J153" s="2" t="s">
        <v>724</v>
      </c>
      <c r="K153" s="10">
        <f>ROUND(7200,2)</f>
        <v>7200</v>
      </c>
      <c r="L153" s="4">
        <v>401600</v>
      </c>
      <c r="M153" s="4">
        <v>11168</v>
      </c>
    </row>
    <row r="154" spans="1:13" ht="15.75" x14ac:dyDescent="0.2">
      <c r="A154" s="4" t="s">
        <v>194</v>
      </c>
      <c r="B154" s="4" t="s">
        <v>264</v>
      </c>
      <c r="C154" s="4">
        <v>1</v>
      </c>
      <c r="D154" s="4">
        <v>3529</v>
      </c>
      <c r="E154" s="4" t="s">
        <v>2</v>
      </c>
      <c r="F154" s="8">
        <v>390000</v>
      </c>
      <c r="G154" s="8" t="s">
        <v>664</v>
      </c>
      <c r="H154" s="8" t="s">
        <v>664</v>
      </c>
      <c r="I154" s="3" t="s">
        <v>659</v>
      </c>
      <c r="J154" s="2" t="s">
        <v>725</v>
      </c>
      <c r="K154" s="10">
        <f>ROUND(8400,2)</f>
        <v>8400</v>
      </c>
      <c r="L154" s="4">
        <v>401600</v>
      </c>
      <c r="M154" s="4">
        <v>11281</v>
      </c>
    </row>
    <row r="155" spans="1:13" ht="15.75" x14ac:dyDescent="0.2">
      <c r="A155" s="4" t="s">
        <v>194</v>
      </c>
      <c r="B155" s="4" t="s">
        <v>260</v>
      </c>
      <c r="C155" s="4">
        <v>1</v>
      </c>
      <c r="D155" s="4">
        <v>3529</v>
      </c>
      <c r="E155" s="4" t="s">
        <v>2</v>
      </c>
      <c r="F155" s="8">
        <v>390000</v>
      </c>
      <c r="G155" s="8" t="s">
        <v>664</v>
      </c>
      <c r="H155" s="8" t="s">
        <v>664</v>
      </c>
      <c r="I155" s="3" t="s">
        <v>659</v>
      </c>
      <c r="J155" s="2" t="s">
        <v>725</v>
      </c>
      <c r="K155" s="10">
        <f>ROUND(8416.25,2)</f>
        <v>8416.25</v>
      </c>
      <c r="L155" s="4">
        <v>401600</v>
      </c>
      <c r="M155" s="4">
        <v>11281</v>
      </c>
    </row>
    <row r="156" spans="1:13" ht="15.75" x14ac:dyDescent="0.2">
      <c r="A156" s="4" t="s">
        <v>194</v>
      </c>
      <c r="B156" s="4" t="s">
        <v>259</v>
      </c>
      <c r="C156" s="4">
        <v>1</v>
      </c>
      <c r="D156" s="4">
        <v>3529</v>
      </c>
      <c r="E156" s="4" t="s">
        <v>2</v>
      </c>
      <c r="F156" s="8">
        <v>390000</v>
      </c>
      <c r="G156" s="8" t="s">
        <v>664</v>
      </c>
      <c r="H156" s="8" t="s">
        <v>664</v>
      </c>
      <c r="I156" s="3" t="s">
        <v>659</v>
      </c>
      <c r="J156" s="2" t="s">
        <v>724</v>
      </c>
      <c r="K156" s="10">
        <f>ROUND(20155,2)</f>
        <v>20155</v>
      </c>
      <c r="L156" s="4">
        <v>401600</v>
      </c>
      <c r="M156" s="4">
        <v>11168</v>
      </c>
    </row>
    <row r="157" spans="1:13" ht="15.75" x14ac:dyDescent="0.2">
      <c r="A157" s="4" t="s">
        <v>220</v>
      </c>
      <c r="B157" s="4" t="s">
        <v>241</v>
      </c>
      <c r="C157" s="4">
        <v>1</v>
      </c>
      <c r="D157" s="4">
        <v>6748</v>
      </c>
      <c r="E157" s="4" t="s">
        <v>46</v>
      </c>
      <c r="F157" s="8">
        <v>230000</v>
      </c>
      <c r="G157" s="8" t="s">
        <v>726</v>
      </c>
      <c r="H157" s="8" t="s">
        <v>727</v>
      </c>
      <c r="I157" s="3" t="s">
        <v>659</v>
      </c>
      <c r="J157" s="2" t="s">
        <v>728</v>
      </c>
      <c r="K157" s="10">
        <f>ROUND(62282.3,2)</f>
        <v>62282.3</v>
      </c>
      <c r="L157" s="4">
        <v>202050</v>
      </c>
      <c r="M157" s="4">
        <v>10005</v>
      </c>
    </row>
    <row r="158" spans="1:13" ht="15.75" x14ac:dyDescent="0.2">
      <c r="A158" s="4" t="s">
        <v>220</v>
      </c>
      <c r="B158" s="4" t="s">
        <v>274</v>
      </c>
      <c r="C158" s="4">
        <v>1</v>
      </c>
      <c r="D158" s="4">
        <v>13640</v>
      </c>
      <c r="E158" s="4" t="s">
        <v>275</v>
      </c>
      <c r="F158" s="8">
        <v>150000</v>
      </c>
      <c r="G158" s="8" t="s">
        <v>632</v>
      </c>
      <c r="H158" s="8" t="s">
        <v>633</v>
      </c>
      <c r="I158" s="3" t="s">
        <v>619</v>
      </c>
      <c r="J158" s="2" t="s">
        <v>729</v>
      </c>
      <c r="K158" s="10">
        <f>ROUND(5440,2)</f>
        <v>5440</v>
      </c>
      <c r="L158" s="4">
        <v>401020</v>
      </c>
      <c r="M158" s="4">
        <v>11146</v>
      </c>
    </row>
    <row r="159" spans="1:13" ht="15.75" x14ac:dyDescent="0.2">
      <c r="A159" s="4" t="s">
        <v>220</v>
      </c>
      <c r="B159" s="4" t="s">
        <v>274</v>
      </c>
      <c r="C159" s="4">
        <v>2</v>
      </c>
      <c r="D159" s="4">
        <v>13640</v>
      </c>
      <c r="E159" s="4" t="s">
        <v>275</v>
      </c>
      <c r="F159" s="8">
        <v>150000</v>
      </c>
      <c r="G159" s="8" t="s">
        <v>632</v>
      </c>
      <c r="H159" s="8" t="s">
        <v>633</v>
      </c>
      <c r="I159" s="3" t="s">
        <v>619</v>
      </c>
      <c r="J159" s="2" t="s">
        <v>729</v>
      </c>
      <c r="K159" s="10">
        <f>ROUND(2128.75,2)</f>
        <v>2128.75</v>
      </c>
      <c r="L159" s="4">
        <v>401020</v>
      </c>
      <c r="M159" s="4">
        <v>11146</v>
      </c>
    </row>
    <row r="160" spans="1:13" ht="15.75" x14ac:dyDescent="0.2">
      <c r="A160" s="4" t="s">
        <v>220</v>
      </c>
      <c r="B160" s="4" t="s">
        <v>274</v>
      </c>
      <c r="C160" s="4">
        <v>3</v>
      </c>
      <c r="D160" s="4">
        <v>13640</v>
      </c>
      <c r="E160" s="4" t="s">
        <v>275</v>
      </c>
      <c r="F160" s="8">
        <v>150000</v>
      </c>
      <c r="G160" s="8" t="s">
        <v>632</v>
      </c>
      <c r="H160" s="8" t="s">
        <v>633</v>
      </c>
      <c r="I160" s="3" t="s">
        <v>619</v>
      </c>
      <c r="J160" s="2" t="s">
        <v>729</v>
      </c>
      <c r="K160" s="10">
        <f>ROUND(2071.25,2)</f>
        <v>2071.25</v>
      </c>
      <c r="L160" s="4">
        <v>401020</v>
      </c>
      <c r="M160" s="4">
        <v>11146</v>
      </c>
    </row>
    <row r="161" spans="1:13" ht="15.75" x14ac:dyDescent="0.2">
      <c r="A161" s="4" t="s">
        <v>220</v>
      </c>
      <c r="B161" s="4" t="s">
        <v>274</v>
      </c>
      <c r="C161" s="4">
        <v>4</v>
      </c>
      <c r="D161" s="4">
        <v>13640</v>
      </c>
      <c r="E161" s="4" t="s">
        <v>275</v>
      </c>
      <c r="F161" s="8">
        <v>150000</v>
      </c>
      <c r="G161" s="8" t="s">
        <v>632</v>
      </c>
      <c r="H161" s="8" t="s">
        <v>633</v>
      </c>
      <c r="I161" s="3" t="s">
        <v>619</v>
      </c>
      <c r="J161" s="2" t="s">
        <v>729</v>
      </c>
      <c r="K161" s="10">
        <f>ROUND(2297.5,2)</f>
        <v>2297.5</v>
      </c>
      <c r="L161" s="4">
        <v>401020</v>
      </c>
      <c r="M161" s="4">
        <v>11146</v>
      </c>
    </row>
    <row r="162" spans="1:13" ht="15.75" x14ac:dyDescent="0.2">
      <c r="A162" s="4" t="s">
        <v>220</v>
      </c>
      <c r="B162" s="4" t="s">
        <v>274</v>
      </c>
      <c r="C162" s="4">
        <v>5</v>
      </c>
      <c r="D162" s="4">
        <v>13640</v>
      </c>
      <c r="E162" s="4" t="s">
        <v>275</v>
      </c>
      <c r="F162" s="8">
        <v>150000</v>
      </c>
      <c r="G162" s="8" t="s">
        <v>632</v>
      </c>
      <c r="H162" s="8" t="s">
        <v>633</v>
      </c>
      <c r="I162" s="3" t="s">
        <v>619</v>
      </c>
      <c r="J162" s="2" t="s">
        <v>729</v>
      </c>
      <c r="K162" s="10">
        <f>ROUND(1582.5,2)</f>
        <v>1582.5</v>
      </c>
      <c r="L162" s="4">
        <v>401020</v>
      </c>
      <c r="M162" s="4">
        <v>11146</v>
      </c>
    </row>
    <row r="163" spans="1:13" ht="15.75" x14ac:dyDescent="0.2">
      <c r="A163" s="4" t="s">
        <v>18</v>
      </c>
      <c r="B163" s="4" t="s">
        <v>271</v>
      </c>
      <c r="C163" s="4">
        <v>1</v>
      </c>
      <c r="D163" s="4">
        <v>12193</v>
      </c>
      <c r="E163" s="4" t="s">
        <v>272</v>
      </c>
      <c r="F163" s="8">
        <v>999999</v>
      </c>
      <c r="G163" s="8" t="s">
        <v>646</v>
      </c>
      <c r="H163" s="8" t="s">
        <v>730</v>
      </c>
      <c r="I163" s="3" t="s">
        <v>628</v>
      </c>
      <c r="J163" s="2" t="s">
        <v>731</v>
      </c>
      <c r="K163" s="10">
        <f>ROUND(8622,2)</f>
        <v>8622</v>
      </c>
      <c r="L163" s="4">
        <v>561704</v>
      </c>
      <c r="M163" s="4">
        <v>12731</v>
      </c>
    </row>
    <row r="164" spans="1:13" ht="15.75" x14ac:dyDescent="0.25">
      <c r="A164" s="4" t="s">
        <v>18</v>
      </c>
      <c r="B164" s="4" t="s">
        <v>282</v>
      </c>
      <c r="C164" s="4">
        <v>1</v>
      </c>
      <c r="D164" s="4">
        <v>3529</v>
      </c>
      <c r="E164" s="4" t="s">
        <v>2</v>
      </c>
      <c r="F164" s="8">
        <v>390000</v>
      </c>
      <c r="G164" s="8" t="s">
        <v>664</v>
      </c>
      <c r="H164" s="8" t="s">
        <v>664</v>
      </c>
      <c r="I164" s="1" t="s">
        <v>659</v>
      </c>
      <c r="J164" s="2" t="e">
        <v>#N/A</v>
      </c>
      <c r="K164" s="10">
        <f>ROUND(13193.19,2)</f>
        <v>13193.19</v>
      </c>
      <c r="L164" s="4">
        <v>401600</v>
      </c>
      <c r="M164" s="4" t="s">
        <v>283</v>
      </c>
    </row>
    <row r="165" spans="1:13" ht="15.75" x14ac:dyDescent="0.2">
      <c r="A165" s="4" t="s">
        <v>18</v>
      </c>
      <c r="B165" s="4" t="s">
        <v>280</v>
      </c>
      <c r="C165" s="4">
        <v>1</v>
      </c>
      <c r="D165" s="4">
        <v>16430</v>
      </c>
      <c r="E165" s="4" t="s">
        <v>281</v>
      </c>
      <c r="F165" s="8">
        <v>150000</v>
      </c>
      <c r="G165" s="8" t="s">
        <v>632</v>
      </c>
      <c r="H165" s="8" t="s">
        <v>633</v>
      </c>
      <c r="I165" s="3" t="s">
        <v>619</v>
      </c>
      <c r="J165" s="2" t="s">
        <v>709</v>
      </c>
      <c r="K165" s="10">
        <f>ROUND(6000,2)</f>
        <v>6000</v>
      </c>
      <c r="L165" s="4">
        <v>401020</v>
      </c>
      <c r="M165" s="4">
        <v>11139</v>
      </c>
    </row>
    <row r="166" spans="1:13" ht="15.75" x14ac:dyDescent="0.2">
      <c r="A166" s="4" t="s">
        <v>18</v>
      </c>
      <c r="B166" s="4" t="s">
        <v>262</v>
      </c>
      <c r="C166" s="4">
        <v>1</v>
      </c>
      <c r="D166" s="4">
        <v>5892</v>
      </c>
      <c r="E166" s="4" t="s">
        <v>263</v>
      </c>
      <c r="F166" s="8">
        <v>320000</v>
      </c>
      <c r="G166" s="8" t="s">
        <v>646</v>
      </c>
      <c r="H166" s="8" t="s">
        <v>688</v>
      </c>
      <c r="I166" s="3" t="s">
        <v>628</v>
      </c>
      <c r="J166" s="2" t="s">
        <v>732</v>
      </c>
      <c r="K166" s="10">
        <f>ROUND(20000,2)</f>
        <v>20000</v>
      </c>
      <c r="L166" s="4">
        <v>500530</v>
      </c>
      <c r="M166" s="4">
        <v>13229</v>
      </c>
    </row>
    <row r="167" spans="1:13" ht="15.75" x14ac:dyDescent="0.2">
      <c r="A167" s="4" t="s">
        <v>268</v>
      </c>
      <c r="B167" s="4" t="s">
        <v>278</v>
      </c>
      <c r="C167" s="4">
        <v>1</v>
      </c>
      <c r="D167" s="4">
        <v>16950</v>
      </c>
      <c r="E167" s="4" t="s">
        <v>279</v>
      </c>
      <c r="F167" s="8">
        <v>270000</v>
      </c>
      <c r="G167" s="8" t="s">
        <v>621</v>
      </c>
      <c r="H167" s="8" t="s">
        <v>622</v>
      </c>
      <c r="I167" s="3" t="s">
        <v>619</v>
      </c>
      <c r="J167" s="2" t="s">
        <v>623</v>
      </c>
      <c r="K167" s="10">
        <f>ROUND(148500,2)</f>
        <v>148500</v>
      </c>
      <c r="L167" s="4">
        <v>402001</v>
      </c>
      <c r="M167" s="4">
        <v>11324</v>
      </c>
    </row>
    <row r="168" spans="1:13" ht="15.75" x14ac:dyDescent="0.2">
      <c r="A168" s="4" t="s">
        <v>268</v>
      </c>
      <c r="B168" s="4" t="s">
        <v>278</v>
      </c>
      <c r="C168" s="4">
        <v>2</v>
      </c>
      <c r="D168" s="4">
        <v>16950</v>
      </c>
      <c r="E168" s="4" t="s">
        <v>279</v>
      </c>
      <c r="F168" s="8">
        <v>270000</v>
      </c>
      <c r="G168" s="8" t="s">
        <v>621</v>
      </c>
      <c r="H168" s="8" t="s">
        <v>622</v>
      </c>
      <c r="I168" s="3" t="s">
        <v>619</v>
      </c>
      <c r="J168" s="2" t="s">
        <v>623</v>
      </c>
      <c r="K168" s="10">
        <f>ROUND(54000,2)</f>
        <v>54000</v>
      </c>
      <c r="L168" s="4">
        <v>402001</v>
      </c>
      <c r="M168" s="4">
        <v>11324</v>
      </c>
    </row>
    <row r="169" spans="1:13" ht="15.75" x14ac:dyDescent="0.2">
      <c r="A169" s="4" t="s">
        <v>268</v>
      </c>
      <c r="B169" s="4" t="s">
        <v>292</v>
      </c>
      <c r="C169" s="4">
        <v>1</v>
      </c>
      <c r="D169" s="4">
        <v>12848</v>
      </c>
      <c r="E169" s="4" t="s">
        <v>293</v>
      </c>
      <c r="F169" s="8">
        <v>381600</v>
      </c>
      <c r="G169" s="8" t="s">
        <v>733</v>
      </c>
      <c r="H169" s="8" t="s">
        <v>651</v>
      </c>
      <c r="I169" s="3" t="s">
        <v>659</v>
      </c>
      <c r="J169" s="2" t="s">
        <v>716</v>
      </c>
      <c r="K169" s="10">
        <f>ROUND(46000,2)</f>
        <v>46000</v>
      </c>
      <c r="L169" s="4">
        <v>300401</v>
      </c>
      <c r="M169" s="4">
        <v>11285</v>
      </c>
    </row>
    <row r="170" spans="1:13" ht="15.75" x14ac:dyDescent="0.2">
      <c r="A170" s="4" t="s">
        <v>171</v>
      </c>
      <c r="B170" s="4" t="s">
        <v>245</v>
      </c>
      <c r="C170" s="4">
        <v>1</v>
      </c>
      <c r="D170" s="4">
        <v>5214</v>
      </c>
      <c r="E170" s="4" t="s">
        <v>246</v>
      </c>
      <c r="F170" s="8">
        <v>150000</v>
      </c>
      <c r="G170" s="8" t="s">
        <v>632</v>
      </c>
      <c r="H170" s="8" t="s">
        <v>633</v>
      </c>
      <c r="I170" s="3" t="s">
        <v>659</v>
      </c>
      <c r="J170" s="2" t="s">
        <v>734</v>
      </c>
      <c r="K170" s="10">
        <f>ROUND(42375,2)</f>
        <v>42375</v>
      </c>
      <c r="L170" s="4">
        <v>401007</v>
      </c>
      <c r="M170" s="4">
        <v>12936</v>
      </c>
    </row>
    <row r="171" spans="1:13" ht="15.75" x14ac:dyDescent="0.25">
      <c r="A171" s="4" t="s">
        <v>171</v>
      </c>
      <c r="B171" s="4" t="s">
        <v>290</v>
      </c>
      <c r="C171" s="4">
        <v>1</v>
      </c>
      <c r="D171" s="4">
        <v>7820</v>
      </c>
      <c r="E171" s="4" t="s">
        <v>122</v>
      </c>
      <c r="F171" s="8">
        <v>390000</v>
      </c>
      <c r="G171" s="8" t="s">
        <v>624</v>
      </c>
      <c r="H171" s="8" t="s">
        <v>625</v>
      </c>
      <c r="I171" s="1" t="s">
        <v>659</v>
      </c>
      <c r="J171" s="2" t="e">
        <v>#N/A</v>
      </c>
      <c r="K171" s="10">
        <f>ROUND(35132.08,2)</f>
        <v>35132.080000000002</v>
      </c>
      <c r="L171" s="4">
        <v>200304</v>
      </c>
      <c r="M171" s="4" t="s">
        <v>291</v>
      </c>
    </row>
    <row r="172" spans="1:13" ht="15.75" x14ac:dyDescent="0.25">
      <c r="A172" s="4" t="s">
        <v>171</v>
      </c>
      <c r="B172" s="4" t="s">
        <v>294</v>
      </c>
      <c r="C172" s="4">
        <v>1</v>
      </c>
      <c r="D172" s="4">
        <v>3529</v>
      </c>
      <c r="E172" s="4" t="s">
        <v>2</v>
      </c>
      <c r="F172" s="8">
        <v>390000</v>
      </c>
      <c r="G172" s="8" t="s">
        <v>624</v>
      </c>
      <c r="H172" s="8" t="s">
        <v>625</v>
      </c>
      <c r="I172" s="1" t="s">
        <v>659</v>
      </c>
      <c r="J172" s="2" t="e">
        <v>#N/A</v>
      </c>
      <c r="K172" s="10">
        <f>ROUND(10269.49,2)</f>
        <v>10269.49</v>
      </c>
      <c r="L172" s="4">
        <v>200304</v>
      </c>
      <c r="M172" s="4" t="s">
        <v>291</v>
      </c>
    </row>
    <row r="173" spans="1:13" ht="15.75" x14ac:dyDescent="0.2">
      <c r="A173" s="4" t="s">
        <v>171</v>
      </c>
      <c r="B173" s="4" t="s">
        <v>306</v>
      </c>
      <c r="C173" s="4">
        <v>1</v>
      </c>
      <c r="D173" s="4">
        <v>12726</v>
      </c>
      <c r="E173" s="4" t="s">
        <v>307</v>
      </c>
      <c r="F173" s="8">
        <v>150000</v>
      </c>
      <c r="G173" s="8" t="s">
        <v>632</v>
      </c>
      <c r="H173" s="8" t="s">
        <v>633</v>
      </c>
      <c r="I173" s="3" t="s">
        <v>628</v>
      </c>
      <c r="J173" s="2" t="s">
        <v>735</v>
      </c>
      <c r="K173" s="10">
        <f>ROUND(20000,2)</f>
        <v>20000</v>
      </c>
      <c r="L173" s="4">
        <v>401007</v>
      </c>
      <c r="M173" s="4">
        <v>10751</v>
      </c>
    </row>
    <row r="174" spans="1:13" ht="15.75" x14ac:dyDescent="0.2">
      <c r="A174" s="4" t="s">
        <v>171</v>
      </c>
      <c r="B174" s="4" t="s">
        <v>295</v>
      </c>
      <c r="C174" s="4">
        <v>1</v>
      </c>
      <c r="D174" s="4">
        <v>16927</v>
      </c>
      <c r="E174" s="4" t="s">
        <v>296</v>
      </c>
      <c r="F174" s="8">
        <v>150000</v>
      </c>
      <c r="G174" s="8" t="s">
        <v>632</v>
      </c>
      <c r="H174" s="8" t="s">
        <v>633</v>
      </c>
      <c r="I174" s="3" t="s">
        <v>628</v>
      </c>
      <c r="J174" s="2" t="s">
        <v>735</v>
      </c>
      <c r="K174" s="10">
        <f>ROUND(10000,2)</f>
        <v>10000</v>
      </c>
      <c r="L174" s="4">
        <v>401007</v>
      </c>
      <c r="M174" s="4">
        <v>10751</v>
      </c>
    </row>
    <row r="175" spans="1:13" ht="15.75" x14ac:dyDescent="0.2">
      <c r="A175" s="4" t="s">
        <v>171</v>
      </c>
      <c r="B175" s="4" t="s">
        <v>304</v>
      </c>
      <c r="C175" s="4">
        <v>1</v>
      </c>
      <c r="D175" s="4">
        <v>15975</v>
      </c>
      <c r="E175" s="4" t="s">
        <v>305</v>
      </c>
      <c r="F175" s="8">
        <v>261400</v>
      </c>
      <c r="G175" s="8" t="s">
        <v>736</v>
      </c>
      <c r="H175" s="8" t="s">
        <v>737</v>
      </c>
      <c r="I175" s="3" t="s">
        <v>659</v>
      </c>
      <c r="J175" s="2" t="s">
        <v>673</v>
      </c>
      <c r="K175" s="10">
        <f>ROUND(21569.45,2)</f>
        <v>21569.45</v>
      </c>
      <c r="L175" s="4">
        <v>100290</v>
      </c>
      <c r="M175" s="4">
        <v>12152</v>
      </c>
    </row>
    <row r="176" spans="1:13" ht="15.75" x14ac:dyDescent="0.2">
      <c r="A176" s="4" t="s">
        <v>171</v>
      </c>
      <c r="B176" s="4" t="s">
        <v>302</v>
      </c>
      <c r="C176" s="4">
        <v>1</v>
      </c>
      <c r="D176" s="4">
        <v>11341</v>
      </c>
      <c r="E176" s="4" t="s">
        <v>303</v>
      </c>
      <c r="F176" s="8">
        <v>999999</v>
      </c>
      <c r="G176" s="8" t="s">
        <v>706</v>
      </c>
      <c r="H176" s="8" t="s">
        <v>706</v>
      </c>
      <c r="I176" s="3" t="s">
        <v>619</v>
      </c>
      <c r="J176" s="2" t="s">
        <v>652</v>
      </c>
      <c r="K176" s="10">
        <f>ROUND(20000,2)</f>
        <v>20000</v>
      </c>
      <c r="L176" s="4">
        <v>402206</v>
      </c>
      <c r="M176" s="4">
        <v>11110</v>
      </c>
    </row>
    <row r="177" spans="1:13" ht="15.75" x14ac:dyDescent="0.25">
      <c r="A177" s="4" t="s">
        <v>110</v>
      </c>
      <c r="B177" s="4" t="s">
        <v>287</v>
      </c>
      <c r="C177" s="4">
        <v>1</v>
      </c>
      <c r="D177" s="4">
        <v>2479</v>
      </c>
      <c r="E177" s="4" t="s">
        <v>140</v>
      </c>
      <c r="F177" s="8">
        <v>390000</v>
      </c>
      <c r="G177" s="8" t="s">
        <v>624</v>
      </c>
      <c r="H177" s="8" t="s">
        <v>625</v>
      </c>
      <c r="I177" s="1" t="s">
        <v>628</v>
      </c>
      <c r="J177" s="2" t="e">
        <v>#N/A</v>
      </c>
      <c r="K177" s="10">
        <f>ROUND(6440,2)</f>
        <v>6440</v>
      </c>
      <c r="L177" s="4">
        <v>200311</v>
      </c>
      <c r="M177" s="4" t="s">
        <v>253</v>
      </c>
    </row>
    <row r="178" spans="1:13" ht="15.75" x14ac:dyDescent="0.25">
      <c r="A178" s="4" t="s">
        <v>110</v>
      </c>
      <c r="B178" s="4" t="s">
        <v>288</v>
      </c>
      <c r="C178" s="4">
        <v>1</v>
      </c>
      <c r="D178" s="4">
        <v>2479</v>
      </c>
      <c r="E178" s="4" t="s">
        <v>140</v>
      </c>
      <c r="F178" s="8">
        <v>390000</v>
      </c>
      <c r="G178" s="8" t="s">
        <v>624</v>
      </c>
      <c r="H178" s="8" t="s">
        <v>625</v>
      </c>
      <c r="I178" s="1" t="s">
        <v>628</v>
      </c>
      <c r="J178" s="2" t="e">
        <v>#N/A</v>
      </c>
      <c r="K178" s="10">
        <f>ROUND(5624,2)</f>
        <v>5624</v>
      </c>
      <c r="L178" s="4">
        <v>200311</v>
      </c>
      <c r="M178" s="4" t="s">
        <v>253</v>
      </c>
    </row>
    <row r="179" spans="1:13" ht="15.75" x14ac:dyDescent="0.2">
      <c r="A179" s="4" t="s">
        <v>110</v>
      </c>
      <c r="B179" s="4" t="s">
        <v>309</v>
      </c>
      <c r="C179" s="4">
        <v>1</v>
      </c>
      <c r="D179" s="4">
        <v>16471</v>
      </c>
      <c r="E179" s="4" t="s">
        <v>310</v>
      </c>
      <c r="F179" s="8">
        <v>390000</v>
      </c>
      <c r="G179" s="8" t="s">
        <v>624</v>
      </c>
      <c r="H179" s="8" t="s">
        <v>658</v>
      </c>
      <c r="I179" s="3" t="s">
        <v>659</v>
      </c>
      <c r="J179" s="2" t="s">
        <v>738</v>
      </c>
      <c r="K179" s="10">
        <f>ROUND(17403.99,2)</f>
        <v>17403.990000000002</v>
      </c>
      <c r="L179" s="4">
        <v>200123</v>
      </c>
      <c r="M179" s="4">
        <v>12510</v>
      </c>
    </row>
    <row r="180" spans="1:13" ht="15.75" x14ac:dyDescent="0.2">
      <c r="A180" s="4" t="s">
        <v>110</v>
      </c>
      <c r="B180" s="4" t="s">
        <v>312</v>
      </c>
      <c r="C180" s="4">
        <v>1</v>
      </c>
      <c r="D180" s="4">
        <v>1644</v>
      </c>
      <c r="E180" s="4" t="s">
        <v>182</v>
      </c>
      <c r="F180" s="8">
        <v>150000</v>
      </c>
      <c r="G180" s="8" t="s">
        <v>632</v>
      </c>
      <c r="H180" s="8" t="s">
        <v>633</v>
      </c>
      <c r="I180" s="3" t="s">
        <v>628</v>
      </c>
      <c r="J180" s="2" t="s">
        <v>739</v>
      </c>
      <c r="K180" s="10">
        <f>ROUND(17522,2)</f>
        <v>17522</v>
      </c>
      <c r="L180" s="4">
        <v>401020</v>
      </c>
      <c r="M180" s="4">
        <v>12732</v>
      </c>
    </row>
    <row r="181" spans="1:13" ht="15.75" x14ac:dyDescent="0.25">
      <c r="A181" s="4" t="s">
        <v>3</v>
      </c>
      <c r="B181" s="4" t="s">
        <v>313</v>
      </c>
      <c r="C181" s="4">
        <v>1</v>
      </c>
      <c r="D181" s="4">
        <v>6967</v>
      </c>
      <c r="E181" s="4" t="s">
        <v>78</v>
      </c>
      <c r="F181" s="8">
        <v>150000</v>
      </c>
      <c r="G181" s="8" t="s">
        <v>632</v>
      </c>
      <c r="H181" s="8" t="s">
        <v>633</v>
      </c>
      <c r="I181" s="1" t="s">
        <v>659</v>
      </c>
      <c r="J181" s="2" t="e">
        <v>#N/A</v>
      </c>
      <c r="K181" s="10">
        <f>ROUND(45462,2)</f>
        <v>45462</v>
      </c>
      <c r="L181" s="4">
        <v>401007</v>
      </c>
      <c r="M181" s="4" t="s">
        <v>314</v>
      </c>
    </row>
    <row r="182" spans="1:13" ht="15.75" x14ac:dyDescent="0.2">
      <c r="A182" s="4" t="s">
        <v>3</v>
      </c>
      <c r="B182" s="4" t="s">
        <v>316</v>
      </c>
      <c r="C182" s="4">
        <v>1</v>
      </c>
      <c r="D182" s="4">
        <v>11660</v>
      </c>
      <c r="E182" s="4" t="s">
        <v>317</v>
      </c>
      <c r="F182" s="8">
        <v>200000</v>
      </c>
      <c r="G182" s="8" t="s">
        <v>740</v>
      </c>
      <c r="H182" s="8" t="s">
        <v>627</v>
      </c>
      <c r="I182" s="3" t="s">
        <v>628</v>
      </c>
      <c r="J182" s="2" t="s">
        <v>741</v>
      </c>
      <c r="K182" s="10">
        <f>ROUND(9482,2)</f>
        <v>9482</v>
      </c>
      <c r="L182" s="4">
        <v>402401</v>
      </c>
      <c r="M182" s="4">
        <v>10737</v>
      </c>
    </row>
    <row r="183" spans="1:13" ht="15.75" x14ac:dyDescent="0.25">
      <c r="A183" s="4" t="s">
        <v>3</v>
      </c>
      <c r="B183" s="4" t="s">
        <v>323</v>
      </c>
      <c r="C183" s="4">
        <v>1</v>
      </c>
      <c r="D183" s="4">
        <v>1196</v>
      </c>
      <c r="E183" s="4" t="s">
        <v>51</v>
      </c>
      <c r="F183" s="8">
        <v>390000</v>
      </c>
      <c r="G183" s="8" t="s">
        <v>624</v>
      </c>
      <c r="H183" s="8" t="s">
        <v>658</v>
      </c>
      <c r="I183" s="1" t="s">
        <v>628</v>
      </c>
      <c r="J183" s="2" t="e">
        <v>#N/A</v>
      </c>
      <c r="K183" s="10">
        <f>ROUND(6550,2)</f>
        <v>6550</v>
      </c>
      <c r="L183" s="4">
        <v>200123</v>
      </c>
      <c r="M183" s="4" t="s">
        <v>324</v>
      </c>
    </row>
    <row r="184" spans="1:13" ht="15.75" x14ac:dyDescent="0.25">
      <c r="A184" s="4" t="s">
        <v>236</v>
      </c>
      <c r="B184" s="4" t="s">
        <v>235</v>
      </c>
      <c r="C184" s="4">
        <v>1</v>
      </c>
      <c r="D184" s="4">
        <v>82</v>
      </c>
      <c r="E184" s="4" t="s">
        <v>237</v>
      </c>
      <c r="F184" s="8">
        <v>390000</v>
      </c>
      <c r="G184" s="8" t="s">
        <v>624</v>
      </c>
      <c r="H184" s="8" t="s">
        <v>625</v>
      </c>
      <c r="I184" s="1" t="s">
        <v>659</v>
      </c>
      <c r="J184" s="2" t="e">
        <v>#N/A</v>
      </c>
      <c r="K184" s="10">
        <f>ROUND(7889.22,2)</f>
        <v>7889.22</v>
      </c>
      <c r="L184" s="4">
        <v>200304</v>
      </c>
      <c r="M184" s="4" t="s">
        <v>238</v>
      </c>
    </row>
    <row r="185" spans="1:13" ht="15.75" x14ac:dyDescent="0.25">
      <c r="A185" s="4" t="s">
        <v>236</v>
      </c>
      <c r="B185" s="4" t="s">
        <v>235</v>
      </c>
      <c r="C185" s="4">
        <v>2</v>
      </c>
      <c r="D185" s="4">
        <v>82</v>
      </c>
      <c r="E185" s="4" t="s">
        <v>237</v>
      </c>
      <c r="F185" s="8">
        <v>390000</v>
      </c>
      <c r="G185" s="8" t="s">
        <v>624</v>
      </c>
      <c r="H185" s="8" t="s">
        <v>625</v>
      </c>
      <c r="I185" s="1" t="s">
        <v>659</v>
      </c>
      <c r="J185" s="2" t="e">
        <v>#N/A</v>
      </c>
      <c r="K185" s="10">
        <f>ROUND(7889.22,2)</f>
        <v>7889.22</v>
      </c>
      <c r="L185" s="4">
        <v>200304</v>
      </c>
      <c r="M185" s="4" t="s">
        <v>238</v>
      </c>
    </row>
    <row r="186" spans="1:13" ht="15.75" x14ac:dyDescent="0.2">
      <c r="A186" s="4" t="s">
        <v>236</v>
      </c>
      <c r="B186" s="4" t="s">
        <v>315</v>
      </c>
      <c r="C186" s="4">
        <v>1</v>
      </c>
      <c r="D186" s="4">
        <v>2100</v>
      </c>
      <c r="E186" s="4" t="s">
        <v>150</v>
      </c>
      <c r="F186" s="8">
        <v>240000</v>
      </c>
      <c r="G186" s="8" t="s">
        <v>681</v>
      </c>
      <c r="H186" s="8" t="s">
        <v>682</v>
      </c>
      <c r="I186" s="3" t="s">
        <v>659</v>
      </c>
      <c r="J186" s="2" t="s">
        <v>742</v>
      </c>
      <c r="K186" s="10">
        <f>ROUND(7865,2)</f>
        <v>7865</v>
      </c>
      <c r="L186" s="4">
        <v>202035</v>
      </c>
      <c r="M186" s="4">
        <v>12014</v>
      </c>
    </row>
    <row r="187" spans="1:13" ht="15.75" x14ac:dyDescent="0.25">
      <c r="A187" s="4" t="s">
        <v>236</v>
      </c>
      <c r="B187" s="4" t="s">
        <v>286</v>
      </c>
      <c r="C187" s="4">
        <v>1</v>
      </c>
      <c r="D187" s="4">
        <v>9453</v>
      </c>
      <c r="E187" s="4" t="s">
        <v>168</v>
      </c>
      <c r="F187" s="8">
        <v>390000</v>
      </c>
      <c r="G187" s="8" t="s">
        <v>624</v>
      </c>
      <c r="H187" s="8" t="s">
        <v>625</v>
      </c>
      <c r="I187" s="1" t="s">
        <v>659</v>
      </c>
      <c r="J187" s="2" t="e">
        <v>#N/A</v>
      </c>
      <c r="K187" s="10">
        <f>ROUND(14510.25,2)</f>
        <v>14510.25</v>
      </c>
      <c r="L187" s="4">
        <v>200304</v>
      </c>
      <c r="M187" s="4" t="s">
        <v>131</v>
      </c>
    </row>
    <row r="188" spans="1:13" ht="15.75" x14ac:dyDescent="0.25">
      <c r="A188" s="4" t="s">
        <v>236</v>
      </c>
      <c r="B188" s="4" t="s">
        <v>242</v>
      </c>
      <c r="C188" s="4">
        <v>1</v>
      </c>
      <c r="D188" s="4">
        <v>82</v>
      </c>
      <c r="E188" s="4" t="s">
        <v>237</v>
      </c>
      <c r="F188" s="8">
        <v>390000</v>
      </c>
      <c r="G188" s="8" t="s">
        <v>624</v>
      </c>
      <c r="H188" s="8" t="s">
        <v>625</v>
      </c>
      <c r="I188" s="1" t="s">
        <v>659</v>
      </c>
      <c r="J188" s="2" t="e">
        <v>#N/A</v>
      </c>
      <c r="K188" s="10">
        <f>ROUND(8497.94,2)</f>
        <v>8497.94</v>
      </c>
      <c r="L188" s="4">
        <v>200304</v>
      </c>
      <c r="M188" s="4" t="s">
        <v>238</v>
      </c>
    </row>
    <row r="189" spans="1:13" ht="15.75" x14ac:dyDescent="0.25">
      <c r="A189" s="4" t="s">
        <v>236</v>
      </c>
      <c r="B189" s="4" t="s">
        <v>242</v>
      </c>
      <c r="C189" s="4">
        <v>2</v>
      </c>
      <c r="D189" s="4">
        <v>82</v>
      </c>
      <c r="E189" s="4" t="s">
        <v>237</v>
      </c>
      <c r="F189" s="8">
        <v>390000</v>
      </c>
      <c r="G189" s="8" t="s">
        <v>624</v>
      </c>
      <c r="H189" s="8" t="s">
        <v>625</v>
      </c>
      <c r="I189" s="1" t="s">
        <v>659</v>
      </c>
      <c r="J189" s="2" t="e">
        <v>#N/A</v>
      </c>
      <c r="K189" s="10">
        <f>ROUND(16995.88,2)</f>
        <v>16995.88</v>
      </c>
      <c r="L189" s="4">
        <v>200304</v>
      </c>
      <c r="M189" s="4" t="s">
        <v>238</v>
      </c>
    </row>
    <row r="190" spans="1:13" ht="15.75" x14ac:dyDescent="0.25">
      <c r="A190" s="4" t="s">
        <v>236</v>
      </c>
      <c r="B190" s="4" t="s">
        <v>243</v>
      </c>
      <c r="C190" s="4">
        <v>1</v>
      </c>
      <c r="D190" s="4">
        <v>82</v>
      </c>
      <c r="E190" s="4" t="s">
        <v>237</v>
      </c>
      <c r="F190" s="8">
        <v>390000</v>
      </c>
      <c r="G190" s="8" t="s">
        <v>624</v>
      </c>
      <c r="H190" s="8" t="s">
        <v>625</v>
      </c>
      <c r="I190" s="1" t="s">
        <v>659</v>
      </c>
      <c r="J190" s="2" t="e">
        <v>#N/A</v>
      </c>
      <c r="K190" s="10">
        <f>ROUND(32555.97,2)</f>
        <v>32555.97</v>
      </c>
      <c r="L190" s="4">
        <v>200304</v>
      </c>
      <c r="M190" s="4" t="s">
        <v>238</v>
      </c>
    </row>
    <row r="191" spans="1:13" ht="15.75" x14ac:dyDescent="0.25">
      <c r="A191" s="4" t="s">
        <v>236</v>
      </c>
      <c r="B191" s="4" t="s">
        <v>327</v>
      </c>
      <c r="C191" s="4">
        <v>1</v>
      </c>
      <c r="D191" s="4">
        <v>6967</v>
      </c>
      <c r="E191" s="4" t="s">
        <v>78</v>
      </c>
      <c r="F191" s="8">
        <v>150000</v>
      </c>
      <c r="G191" s="8" t="s">
        <v>632</v>
      </c>
      <c r="H191" s="8" t="s">
        <v>633</v>
      </c>
      <c r="I191" s="1" t="s">
        <v>659</v>
      </c>
      <c r="J191" s="2" t="e">
        <v>#N/A</v>
      </c>
      <c r="K191" s="10">
        <f>ROUND(16490,2)</f>
        <v>16490</v>
      </c>
      <c r="L191" s="4">
        <v>401007</v>
      </c>
      <c r="M191" s="4" t="s">
        <v>328</v>
      </c>
    </row>
    <row r="192" spans="1:13" ht="15.75" x14ac:dyDescent="0.2">
      <c r="A192" s="4" t="s">
        <v>1</v>
      </c>
      <c r="B192" s="4" t="s">
        <v>337</v>
      </c>
      <c r="C192" s="4">
        <v>1</v>
      </c>
      <c r="D192" s="4">
        <v>12384</v>
      </c>
      <c r="E192" s="4" t="s">
        <v>266</v>
      </c>
      <c r="F192" s="8">
        <v>320000</v>
      </c>
      <c r="G192" s="8" t="s">
        <v>646</v>
      </c>
      <c r="H192" s="8" t="s">
        <v>688</v>
      </c>
      <c r="I192" s="3" t="s">
        <v>659</v>
      </c>
      <c r="J192" s="2" t="s">
        <v>743</v>
      </c>
      <c r="K192" s="10">
        <f>ROUND(148199,2)</f>
        <v>148199</v>
      </c>
      <c r="L192" s="4">
        <v>500530</v>
      </c>
      <c r="M192" s="4">
        <v>13277</v>
      </c>
    </row>
    <row r="193" spans="1:13" ht="15.75" x14ac:dyDescent="0.2">
      <c r="A193" s="4" t="s">
        <v>1</v>
      </c>
      <c r="B193" s="4" t="s">
        <v>0</v>
      </c>
      <c r="C193" s="4">
        <v>1</v>
      </c>
      <c r="D193" s="4">
        <v>3529</v>
      </c>
      <c r="E193" s="4" t="s">
        <v>2</v>
      </c>
      <c r="F193" s="8">
        <v>390000</v>
      </c>
      <c r="G193" s="8" t="s">
        <v>664</v>
      </c>
      <c r="H193" s="8" t="s">
        <v>664</v>
      </c>
      <c r="I193" s="3" t="s">
        <v>659</v>
      </c>
      <c r="J193" s="2" t="s">
        <v>725</v>
      </c>
      <c r="K193" s="10">
        <f>ROUND(12430,2)</f>
        <v>12430</v>
      </c>
      <c r="L193" s="4">
        <v>401600</v>
      </c>
      <c r="M193" s="4">
        <v>11281</v>
      </c>
    </row>
    <row r="194" spans="1:13" ht="15.75" x14ac:dyDescent="0.2">
      <c r="A194" s="4" t="s">
        <v>41</v>
      </c>
      <c r="B194" s="4" t="s">
        <v>265</v>
      </c>
      <c r="C194" s="4">
        <v>1</v>
      </c>
      <c r="D194" s="4">
        <v>12384</v>
      </c>
      <c r="E194" s="4" t="s">
        <v>266</v>
      </c>
      <c r="F194" s="8">
        <v>320000</v>
      </c>
      <c r="G194" s="8" t="s">
        <v>646</v>
      </c>
      <c r="H194" s="8" t="s">
        <v>688</v>
      </c>
      <c r="I194" s="3" t="s">
        <v>619</v>
      </c>
      <c r="J194" s="2" t="s">
        <v>744</v>
      </c>
      <c r="K194" s="10">
        <f>ROUND(35000,2)</f>
        <v>35000</v>
      </c>
      <c r="L194" s="4">
        <v>402403</v>
      </c>
      <c r="M194" s="4">
        <v>13239</v>
      </c>
    </row>
    <row r="195" spans="1:13" ht="15.75" x14ac:dyDescent="0.2">
      <c r="A195" s="4" t="s">
        <v>41</v>
      </c>
      <c r="B195" s="4" t="s">
        <v>347</v>
      </c>
      <c r="C195" s="4">
        <v>1</v>
      </c>
      <c r="D195" s="4">
        <v>16706</v>
      </c>
      <c r="E195" s="4" t="s">
        <v>348</v>
      </c>
      <c r="F195" s="8">
        <v>150000</v>
      </c>
      <c r="G195" s="8" t="s">
        <v>632</v>
      </c>
      <c r="H195" s="8" t="s">
        <v>633</v>
      </c>
      <c r="I195" s="3" t="s">
        <v>628</v>
      </c>
      <c r="J195" s="2" t="s">
        <v>745</v>
      </c>
      <c r="K195" s="10">
        <f>ROUND(5000,2)</f>
        <v>5000</v>
      </c>
      <c r="L195" s="4">
        <v>401020</v>
      </c>
      <c r="M195" s="4">
        <v>13270</v>
      </c>
    </row>
    <row r="196" spans="1:13" ht="15.75" x14ac:dyDescent="0.2">
      <c r="A196" s="4" t="s">
        <v>41</v>
      </c>
      <c r="B196" s="4" t="s">
        <v>345</v>
      </c>
      <c r="C196" s="4">
        <v>1</v>
      </c>
      <c r="D196" s="4">
        <v>1816</v>
      </c>
      <c r="E196" s="4" t="s">
        <v>335</v>
      </c>
      <c r="F196" s="8">
        <v>150000</v>
      </c>
      <c r="G196" s="8" t="s">
        <v>632</v>
      </c>
      <c r="H196" s="8" t="s">
        <v>633</v>
      </c>
      <c r="I196" s="3" t="s">
        <v>628</v>
      </c>
      <c r="J196" s="2" t="s">
        <v>745</v>
      </c>
      <c r="K196" s="10">
        <f>ROUND(15000,2)</f>
        <v>15000</v>
      </c>
      <c r="L196" s="4">
        <v>401020</v>
      </c>
      <c r="M196" s="4">
        <v>13270</v>
      </c>
    </row>
    <row r="197" spans="1:13" ht="15.75" x14ac:dyDescent="0.2">
      <c r="A197" s="4" t="s">
        <v>41</v>
      </c>
      <c r="B197" s="4" t="s">
        <v>346</v>
      </c>
      <c r="C197" s="4">
        <v>1</v>
      </c>
      <c r="D197" s="4">
        <v>15082</v>
      </c>
      <c r="E197" s="4" t="s">
        <v>329</v>
      </c>
      <c r="F197" s="8">
        <v>150000</v>
      </c>
      <c r="G197" s="8" t="s">
        <v>632</v>
      </c>
      <c r="H197" s="8" t="s">
        <v>633</v>
      </c>
      <c r="I197" s="3" t="s">
        <v>628</v>
      </c>
      <c r="J197" s="2" t="s">
        <v>745</v>
      </c>
      <c r="K197" s="10">
        <f>ROUND(30000,2)</f>
        <v>30000</v>
      </c>
      <c r="L197" s="4">
        <v>401020</v>
      </c>
      <c r="M197" s="4">
        <v>13270</v>
      </c>
    </row>
    <row r="198" spans="1:13" ht="15.75" x14ac:dyDescent="0.25">
      <c r="A198" s="4" t="s">
        <v>230</v>
      </c>
      <c r="B198" s="4" t="s">
        <v>351</v>
      </c>
      <c r="C198" s="4">
        <v>1</v>
      </c>
      <c r="D198" s="4">
        <v>6356</v>
      </c>
      <c r="E198" s="4" t="s">
        <v>139</v>
      </c>
      <c r="F198" s="8">
        <v>391114</v>
      </c>
      <c r="G198" s="8" t="s">
        <v>678</v>
      </c>
      <c r="H198" s="8" t="s">
        <v>679</v>
      </c>
      <c r="I198" s="1" t="s">
        <v>628</v>
      </c>
      <c r="J198" s="2" t="e">
        <v>#N/A</v>
      </c>
      <c r="K198" s="10">
        <f>ROUND(10665,2)</f>
        <v>10665</v>
      </c>
      <c r="L198" s="4">
        <v>200316</v>
      </c>
      <c r="M198" s="4" t="s">
        <v>68</v>
      </c>
    </row>
    <row r="199" spans="1:13" ht="15.75" x14ac:dyDescent="0.2">
      <c r="A199" s="4" t="s">
        <v>230</v>
      </c>
      <c r="B199" s="4" t="s">
        <v>344</v>
      </c>
      <c r="C199" s="4">
        <v>1</v>
      </c>
      <c r="D199" s="4">
        <v>1799</v>
      </c>
      <c r="E199" s="4" t="s">
        <v>195</v>
      </c>
      <c r="F199" s="8">
        <v>320000</v>
      </c>
      <c r="G199" s="8" t="s">
        <v>646</v>
      </c>
      <c r="H199" s="8" t="s">
        <v>647</v>
      </c>
      <c r="I199" s="3" t="s">
        <v>628</v>
      </c>
      <c r="J199" s="2" t="s">
        <v>746</v>
      </c>
      <c r="K199" s="10">
        <f>ROUND(7500,2)</f>
        <v>7500</v>
      </c>
      <c r="L199" s="4">
        <v>530356</v>
      </c>
      <c r="M199" s="4">
        <v>12737</v>
      </c>
    </row>
    <row r="200" spans="1:13" ht="15.75" x14ac:dyDescent="0.2">
      <c r="A200" s="4" t="s">
        <v>230</v>
      </c>
      <c r="B200" s="4" t="s">
        <v>342</v>
      </c>
      <c r="C200" s="4">
        <v>1</v>
      </c>
      <c r="D200" s="4">
        <v>1104</v>
      </c>
      <c r="E200" s="4" t="s">
        <v>343</v>
      </c>
      <c r="F200" s="8">
        <v>320000</v>
      </c>
      <c r="G200" s="8" t="s">
        <v>646</v>
      </c>
      <c r="H200" s="8" t="s">
        <v>647</v>
      </c>
      <c r="I200" s="3" t="s">
        <v>628</v>
      </c>
      <c r="J200" s="2" t="s">
        <v>746</v>
      </c>
      <c r="K200" s="10">
        <f>ROUND(7500,2)</f>
        <v>7500</v>
      </c>
      <c r="L200" s="4">
        <v>530356</v>
      </c>
      <c r="M200" s="4">
        <v>12737</v>
      </c>
    </row>
    <row r="201" spans="1:13" ht="15.75" x14ac:dyDescent="0.2">
      <c r="A201" s="4" t="s">
        <v>230</v>
      </c>
      <c r="B201" s="4" t="s">
        <v>350</v>
      </c>
      <c r="C201" s="4">
        <v>1</v>
      </c>
      <c r="D201" s="4">
        <v>15643</v>
      </c>
      <c r="E201" s="4" t="s">
        <v>60</v>
      </c>
      <c r="F201" s="8">
        <v>320000</v>
      </c>
      <c r="G201" s="8" t="s">
        <v>646</v>
      </c>
      <c r="H201" s="8" t="s">
        <v>647</v>
      </c>
      <c r="I201" s="3" t="s">
        <v>628</v>
      </c>
      <c r="J201" s="2" t="s">
        <v>661</v>
      </c>
      <c r="K201" s="10">
        <f>ROUND(6032,2)</f>
        <v>6032</v>
      </c>
      <c r="L201" s="4">
        <v>530335</v>
      </c>
      <c r="M201" s="4">
        <v>11513</v>
      </c>
    </row>
    <row r="202" spans="1:13" ht="15.75" x14ac:dyDescent="0.2">
      <c r="A202" s="4" t="s">
        <v>230</v>
      </c>
      <c r="B202" s="4" t="s">
        <v>349</v>
      </c>
      <c r="C202" s="4">
        <v>1</v>
      </c>
      <c r="D202" s="4">
        <v>15643</v>
      </c>
      <c r="E202" s="4" t="s">
        <v>60</v>
      </c>
      <c r="F202" s="8">
        <v>320000</v>
      </c>
      <c r="G202" s="8" t="s">
        <v>646</v>
      </c>
      <c r="H202" s="8" t="s">
        <v>647</v>
      </c>
      <c r="I202" s="3" t="s">
        <v>628</v>
      </c>
      <c r="J202" s="2" t="s">
        <v>661</v>
      </c>
      <c r="K202" s="10">
        <f>ROUND(12818,2)</f>
        <v>12818</v>
      </c>
      <c r="L202" s="4">
        <v>530335</v>
      </c>
      <c r="M202" s="4">
        <v>11513</v>
      </c>
    </row>
    <row r="203" spans="1:13" ht="15.75" x14ac:dyDescent="0.2">
      <c r="A203" s="4" t="s">
        <v>230</v>
      </c>
      <c r="B203" s="4" t="s">
        <v>326</v>
      </c>
      <c r="C203" s="4">
        <v>1</v>
      </c>
      <c r="D203" s="4">
        <v>13227</v>
      </c>
      <c r="E203" s="4" t="s">
        <v>48</v>
      </c>
      <c r="F203" s="8">
        <v>150000</v>
      </c>
      <c r="G203" s="8" t="s">
        <v>632</v>
      </c>
      <c r="H203" s="8" t="s">
        <v>633</v>
      </c>
      <c r="I203" s="3" t="s">
        <v>628</v>
      </c>
      <c r="J203" s="2" t="s">
        <v>747</v>
      </c>
      <c r="K203" s="10">
        <f>ROUND(13500,2)</f>
        <v>13500</v>
      </c>
      <c r="L203" s="4">
        <v>401007</v>
      </c>
      <c r="M203" s="4">
        <v>10305</v>
      </c>
    </row>
    <row r="204" spans="1:13" ht="15.75" x14ac:dyDescent="0.2">
      <c r="A204" s="4" t="s">
        <v>267</v>
      </c>
      <c r="B204" s="4" t="s">
        <v>367</v>
      </c>
      <c r="C204" s="4">
        <v>1</v>
      </c>
      <c r="D204" s="4">
        <v>14253</v>
      </c>
      <c r="E204" s="4" t="s">
        <v>368</v>
      </c>
      <c r="F204" s="8">
        <v>390000</v>
      </c>
      <c r="G204" s="8" t="s">
        <v>624</v>
      </c>
      <c r="H204" s="8" t="s">
        <v>627</v>
      </c>
      <c r="I204" s="3" t="s">
        <v>628</v>
      </c>
      <c r="J204" s="2" t="s">
        <v>748</v>
      </c>
      <c r="K204" s="10">
        <f>ROUND(20000,2)</f>
        <v>20000</v>
      </c>
      <c r="L204" s="4">
        <v>401017</v>
      </c>
      <c r="M204" s="4">
        <v>13037</v>
      </c>
    </row>
    <row r="205" spans="1:13" ht="15.75" x14ac:dyDescent="0.2">
      <c r="A205" s="4" t="s">
        <v>311</v>
      </c>
      <c r="B205" s="4" t="s">
        <v>360</v>
      </c>
      <c r="C205" s="4">
        <v>1</v>
      </c>
      <c r="D205" s="4">
        <v>5384</v>
      </c>
      <c r="E205" s="4" t="s">
        <v>361</v>
      </c>
      <c r="F205" s="8">
        <v>270000</v>
      </c>
      <c r="G205" s="8" t="s">
        <v>621</v>
      </c>
      <c r="H205" s="8" t="s">
        <v>622</v>
      </c>
      <c r="I205" s="3" t="s">
        <v>659</v>
      </c>
      <c r="J205" s="2" t="s">
        <v>749</v>
      </c>
      <c r="K205" s="10">
        <f>ROUND(79068,2)</f>
        <v>79068</v>
      </c>
      <c r="L205" s="4">
        <v>402001</v>
      </c>
      <c r="M205" s="4">
        <v>10091</v>
      </c>
    </row>
    <row r="206" spans="1:13" ht="15.75" x14ac:dyDescent="0.25">
      <c r="A206" s="4" t="s">
        <v>311</v>
      </c>
      <c r="B206" s="4" t="s">
        <v>375</v>
      </c>
      <c r="C206" s="4">
        <v>1</v>
      </c>
      <c r="D206" s="4">
        <v>6748</v>
      </c>
      <c r="E206" s="4" t="s">
        <v>46</v>
      </c>
      <c r="F206" s="8">
        <v>390000</v>
      </c>
      <c r="G206" s="8" t="s">
        <v>664</v>
      </c>
      <c r="H206" s="8" t="s">
        <v>664</v>
      </c>
      <c r="I206" s="1" t="s">
        <v>659</v>
      </c>
      <c r="J206" s="2" t="e">
        <v>#N/A</v>
      </c>
      <c r="K206" s="10">
        <f>ROUND(107311.46,2)</f>
        <v>107311.46</v>
      </c>
      <c r="L206" s="4">
        <v>401600</v>
      </c>
      <c r="M206" s="4" t="s">
        <v>291</v>
      </c>
    </row>
    <row r="207" spans="1:13" ht="15.75" x14ac:dyDescent="0.25">
      <c r="A207" s="4" t="s">
        <v>225</v>
      </c>
      <c r="B207" s="4" t="s">
        <v>370</v>
      </c>
      <c r="C207" s="4">
        <v>1</v>
      </c>
      <c r="D207" s="4">
        <v>757</v>
      </c>
      <c r="E207" s="4" t="s">
        <v>7</v>
      </c>
      <c r="F207" s="8">
        <v>391114</v>
      </c>
      <c r="G207" s="8" t="s">
        <v>678</v>
      </c>
      <c r="H207" s="8" t="s">
        <v>679</v>
      </c>
      <c r="I207" s="1" t="s">
        <v>659</v>
      </c>
      <c r="J207" s="2" t="e">
        <v>#N/A</v>
      </c>
      <c r="K207" s="10">
        <f>ROUND(8866.2,2)</f>
        <v>8866.2000000000007</v>
      </c>
      <c r="L207" s="4">
        <v>200316</v>
      </c>
      <c r="M207" s="4" t="s">
        <v>371</v>
      </c>
    </row>
    <row r="208" spans="1:13" ht="15.75" x14ac:dyDescent="0.25">
      <c r="A208" s="4" t="s">
        <v>225</v>
      </c>
      <c r="B208" s="4" t="s">
        <v>372</v>
      </c>
      <c r="C208" s="4">
        <v>1</v>
      </c>
      <c r="D208" s="4">
        <v>757</v>
      </c>
      <c r="E208" s="4" t="s">
        <v>7</v>
      </c>
      <c r="F208" s="8">
        <v>391114</v>
      </c>
      <c r="G208" s="8" t="s">
        <v>678</v>
      </c>
      <c r="H208" s="8" t="s">
        <v>679</v>
      </c>
      <c r="I208" s="1" t="s">
        <v>659</v>
      </c>
      <c r="J208" s="2" t="e">
        <v>#N/A</v>
      </c>
      <c r="K208" s="10">
        <f>ROUND(6695,2)</f>
        <v>6695</v>
      </c>
      <c r="L208" s="4">
        <v>200316</v>
      </c>
      <c r="M208" s="4" t="s">
        <v>371</v>
      </c>
    </row>
    <row r="209" spans="1:13" ht="15.75" x14ac:dyDescent="0.2">
      <c r="A209" s="4" t="s">
        <v>331</v>
      </c>
      <c r="B209" s="4" t="s">
        <v>330</v>
      </c>
      <c r="C209" s="4">
        <v>1</v>
      </c>
      <c r="D209" s="4">
        <v>13860</v>
      </c>
      <c r="E209" s="4" t="s">
        <v>63</v>
      </c>
      <c r="F209" s="8">
        <v>260000</v>
      </c>
      <c r="G209" s="8" t="s">
        <v>630</v>
      </c>
      <c r="H209" s="8" t="s">
        <v>662</v>
      </c>
      <c r="I209" s="3" t="s">
        <v>659</v>
      </c>
      <c r="J209" s="2" t="s">
        <v>663</v>
      </c>
      <c r="K209" s="10">
        <f>ROUND(7245,2)</f>
        <v>7245</v>
      </c>
      <c r="L209" s="4">
        <v>100304</v>
      </c>
      <c r="M209" s="4">
        <v>12328</v>
      </c>
    </row>
    <row r="210" spans="1:13" ht="15.75" x14ac:dyDescent="0.2">
      <c r="A210" s="4" t="s">
        <v>331</v>
      </c>
      <c r="B210" s="4" t="s">
        <v>332</v>
      </c>
      <c r="C210" s="4">
        <v>1</v>
      </c>
      <c r="D210" s="4">
        <v>13155</v>
      </c>
      <c r="E210" s="4" t="s">
        <v>333</v>
      </c>
      <c r="F210" s="8">
        <v>270000</v>
      </c>
      <c r="G210" s="8" t="s">
        <v>621</v>
      </c>
      <c r="H210" s="8" t="s">
        <v>622</v>
      </c>
      <c r="I210" s="3" t="s">
        <v>659</v>
      </c>
      <c r="J210" s="2" t="s">
        <v>663</v>
      </c>
      <c r="K210" s="10">
        <f>ROUND(14450.44,2)</f>
        <v>14450.44</v>
      </c>
      <c r="L210" s="4">
        <v>402001</v>
      </c>
      <c r="M210" s="4">
        <v>12328</v>
      </c>
    </row>
    <row r="211" spans="1:13" ht="15.75" x14ac:dyDescent="0.2">
      <c r="A211" s="4" t="s">
        <v>331</v>
      </c>
      <c r="B211" s="4" t="s">
        <v>334</v>
      </c>
      <c r="C211" s="4">
        <v>1</v>
      </c>
      <c r="D211" s="4">
        <v>13223</v>
      </c>
      <c r="E211" s="4" t="s">
        <v>105</v>
      </c>
      <c r="F211" s="8">
        <v>260000</v>
      </c>
      <c r="G211" s="8" t="s">
        <v>630</v>
      </c>
      <c r="H211" s="8" t="s">
        <v>662</v>
      </c>
      <c r="I211" s="3" t="s">
        <v>659</v>
      </c>
      <c r="J211" s="2" t="s">
        <v>663</v>
      </c>
      <c r="K211" s="10">
        <f>ROUND(7150,2)</f>
        <v>7150</v>
      </c>
      <c r="L211" s="4">
        <v>100304</v>
      </c>
      <c r="M211" s="4">
        <v>12328</v>
      </c>
    </row>
    <row r="212" spans="1:13" ht="15.75" x14ac:dyDescent="0.25">
      <c r="A212" s="4" t="s">
        <v>331</v>
      </c>
      <c r="B212" s="4" t="s">
        <v>356</v>
      </c>
      <c r="C212" s="4">
        <v>1</v>
      </c>
      <c r="D212" s="4">
        <v>16953</v>
      </c>
      <c r="E212" s="4" t="s">
        <v>357</v>
      </c>
      <c r="F212" s="8">
        <v>150000</v>
      </c>
      <c r="G212" s="8" t="s">
        <v>632</v>
      </c>
      <c r="H212" s="8" t="s">
        <v>633</v>
      </c>
      <c r="I212" s="1" t="s">
        <v>659</v>
      </c>
      <c r="J212" s="2" t="e">
        <v>#N/A</v>
      </c>
      <c r="K212" s="10">
        <f>ROUND(218485,2)</f>
        <v>218485</v>
      </c>
      <c r="L212" s="4">
        <v>401007</v>
      </c>
      <c r="M212" s="4" t="s">
        <v>297</v>
      </c>
    </row>
    <row r="213" spans="1:13" ht="15.75" x14ac:dyDescent="0.25">
      <c r="A213" s="4" t="s">
        <v>331</v>
      </c>
      <c r="B213" s="4" t="s">
        <v>358</v>
      </c>
      <c r="C213" s="4">
        <v>1</v>
      </c>
      <c r="D213" s="4">
        <v>14571</v>
      </c>
      <c r="E213" s="4" t="s">
        <v>223</v>
      </c>
      <c r="F213" s="8">
        <v>150000</v>
      </c>
      <c r="G213" s="8" t="s">
        <v>632</v>
      </c>
      <c r="H213" s="8" t="s">
        <v>633</v>
      </c>
      <c r="I213" s="1" t="s">
        <v>659</v>
      </c>
      <c r="J213" s="2" t="e">
        <v>#N/A</v>
      </c>
      <c r="K213" s="10">
        <f>ROUND(31600,2)</f>
        <v>31600</v>
      </c>
      <c r="L213" s="4">
        <v>401007</v>
      </c>
      <c r="M213" s="4" t="s">
        <v>297</v>
      </c>
    </row>
    <row r="214" spans="1:13" ht="15.75" x14ac:dyDescent="0.2">
      <c r="A214" s="4" t="s">
        <v>331</v>
      </c>
      <c r="B214" s="4" t="s">
        <v>359</v>
      </c>
      <c r="C214" s="4">
        <v>1</v>
      </c>
      <c r="D214" s="4">
        <v>12680</v>
      </c>
      <c r="E214" s="4" t="s">
        <v>204</v>
      </c>
      <c r="F214" s="8">
        <v>150000</v>
      </c>
      <c r="G214" s="8" t="s">
        <v>632</v>
      </c>
      <c r="H214" s="8" t="s">
        <v>633</v>
      </c>
      <c r="I214" s="3" t="s">
        <v>659</v>
      </c>
      <c r="J214" s="2" t="s">
        <v>663</v>
      </c>
      <c r="K214" s="10">
        <f>ROUND(2500,2)</f>
        <v>2500</v>
      </c>
      <c r="L214" s="4">
        <v>401020</v>
      </c>
      <c r="M214" s="4">
        <v>12328</v>
      </c>
    </row>
    <row r="215" spans="1:13" ht="15.75" x14ac:dyDescent="0.2">
      <c r="A215" s="4" t="s">
        <v>331</v>
      </c>
      <c r="B215" s="4" t="s">
        <v>359</v>
      </c>
      <c r="C215" s="4">
        <v>2</v>
      </c>
      <c r="D215" s="4">
        <v>12680</v>
      </c>
      <c r="E215" s="4" t="s">
        <v>204</v>
      </c>
      <c r="F215" s="8">
        <v>150000</v>
      </c>
      <c r="G215" s="8" t="s">
        <v>632</v>
      </c>
      <c r="H215" s="8" t="s">
        <v>633</v>
      </c>
      <c r="I215" s="3" t="s">
        <v>659</v>
      </c>
      <c r="J215" s="2" t="s">
        <v>663</v>
      </c>
      <c r="K215" s="10">
        <f>ROUND(2500,2)</f>
        <v>2500</v>
      </c>
      <c r="L215" s="4">
        <v>401020</v>
      </c>
      <c r="M215" s="4">
        <v>12328</v>
      </c>
    </row>
    <row r="216" spans="1:13" ht="15.75" x14ac:dyDescent="0.2">
      <c r="A216" s="4" t="s">
        <v>331</v>
      </c>
      <c r="B216" s="4" t="s">
        <v>359</v>
      </c>
      <c r="C216" s="4">
        <v>3</v>
      </c>
      <c r="D216" s="4">
        <v>12680</v>
      </c>
      <c r="E216" s="4" t="s">
        <v>204</v>
      </c>
      <c r="F216" s="8">
        <v>150000</v>
      </c>
      <c r="G216" s="8" t="s">
        <v>632</v>
      </c>
      <c r="H216" s="8" t="s">
        <v>633</v>
      </c>
      <c r="I216" s="3" t="s">
        <v>659</v>
      </c>
      <c r="J216" s="2" t="s">
        <v>663</v>
      </c>
      <c r="K216" s="10">
        <f>ROUND(1875,2)</f>
        <v>1875</v>
      </c>
      <c r="L216" s="4">
        <v>401020</v>
      </c>
      <c r="M216" s="4">
        <v>12328</v>
      </c>
    </row>
    <row r="217" spans="1:13" ht="15.75" x14ac:dyDescent="0.2">
      <c r="A217" s="4" t="s">
        <v>325</v>
      </c>
      <c r="B217" s="4" t="s">
        <v>376</v>
      </c>
      <c r="C217" s="4">
        <v>1</v>
      </c>
      <c r="D217" s="4">
        <v>5915</v>
      </c>
      <c r="E217" s="4" t="s">
        <v>377</v>
      </c>
      <c r="F217" s="8">
        <v>150000</v>
      </c>
      <c r="G217" s="8" t="s">
        <v>632</v>
      </c>
      <c r="H217" s="8" t="s">
        <v>633</v>
      </c>
      <c r="I217" s="3" t="s">
        <v>659</v>
      </c>
      <c r="J217" s="2" t="s">
        <v>750</v>
      </c>
      <c r="K217" s="10">
        <f>ROUND(126703.2,2)</f>
        <v>126703.2</v>
      </c>
      <c r="L217" s="4">
        <v>401020</v>
      </c>
      <c r="M217" s="4">
        <v>13062</v>
      </c>
    </row>
    <row r="218" spans="1:13" ht="15.75" x14ac:dyDescent="0.2">
      <c r="A218" s="4" t="s">
        <v>325</v>
      </c>
      <c r="B218" s="4" t="s">
        <v>378</v>
      </c>
      <c r="C218" s="4">
        <v>1</v>
      </c>
      <c r="D218" s="4">
        <v>4272</v>
      </c>
      <c r="E218" s="4" t="s">
        <v>379</v>
      </c>
      <c r="F218" s="8">
        <v>270000</v>
      </c>
      <c r="G218" s="8" t="s">
        <v>621</v>
      </c>
      <c r="H218" s="8" t="s">
        <v>622</v>
      </c>
      <c r="I218" s="3" t="s">
        <v>628</v>
      </c>
      <c r="J218" s="2" t="s">
        <v>751</v>
      </c>
      <c r="K218" s="10">
        <f>ROUND(8946,2)</f>
        <v>8946</v>
      </c>
      <c r="L218" s="4">
        <v>402001</v>
      </c>
      <c r="M218" s="4">
        <v>13058</v>
      </c>
    </row>
    <row r="219" spans="1:13" ht="15.75" x14ac:dyDescent="0.2">
      <c r="A219" s="4" t="s">
        <v>325</v>
      </c>
      <c r="B219" s="4" t="s">
        <v>373</v>
      </c>
      <c r="C219" s="4">
        <v>1</v>
      </c>
      <c r="D219" s="4">
        <v>8749</v>
      </c>
      <c r="E219" s="4" t="s">
        <v>374</v>
      </c>
      <c r="F219" s="8">
        <v>390000</v>
      </c>
      <c r="G219" s="8" t="s">
        <v>624</v>
      </c>
      <c r="H219" s="8" t="s">
        <v>625</v>
      </c>
      <c r="I219" s="3" t="s">
        <v>628</v>
      </c>
      <c r="J219" s="2" t="s">
        <v>752</v>
      </c>
      <c r="K219" s="10">
        <f>ROUND(10000,2)</f>
        <v>10000</v>
      </c>
      <c r="L219" s="4">
        <v>200301</v>
      </c>
      <c r="M219" s="4">
        <v>11658</v>
      </c>
    </row>
    <row r="220" spans="1:13" ht="15.75" x14ac:dyDescent="0.2">
      <c r="A220" s="4" t="s">
        <v>325</v>
      </c>
      <c r="B220" s="4" t="s">
        <v>354</v>
      </c>
      <c r="C220" s="4">
        <v>1</v>
      </c>
      <c r="D220" s="4">
        <v>16966</v>
      </c>
      <c r="E220" s="4" t="s">
        <v>355</v>
      </c>
      <c r="F220" s="8">
        <v>150000</v>
      </c>
      <c r="G220" s="8" t="s">
        <v>632</v>
      </c>
      <c r="H220" s="8" t="s">
        <v>633</v>
      </c>
      <c r="I220" s="3" t="s">
        <v>628</v>
      </c>
      <c r="J220" s="2" t="s">
        <v>715</v>
      </c>
      <c r="K220" s="10">
        <f>ROUND(23364,2)</f>
        <v>23364</v>
      </c>
      <c r="L220" s="4">
        <v>401020</v>
      </c>
      <c r="M220" s="4">
        <v>10472</v>
      </c>
    </row>
    <row r="221" spans="1:13" ht="15.75" x14ac:dyDescent="0.25">
      <c r="A221" s="4" t="s">
        <v>285</v>
      </c>
      <c r="B221" s="4" t="s">
        <v>391</v>
      </c>
      <c r="C221" s="4">
        <v>1</v>
      </c>
      <c r="D221" s="4">
        <v>6748</v>
      </c>
      <c r="E221" s="4" t="s">
        <v>46</v>
      </c>
      <c r="F221" s="8">
        <v>390000</v>
      </c>
      <c r="G221" s="8" t="s">
        <v>664</v>
      </c>
      <c r="H221" s="8" t="s">
        <v>664</v>
      </c>
      <c r="I221" s="1" t="s">
        <v>659</v>
      </c>
      <c r="J221" s="2" t="e">
        <v>#N/A</v>
      </c>
      <c r="K221" s="10">
        <f>ROUND(14126.95,2)</f>
        <v>14126.95</v>
      </c>
      <c r="L221" s="4">
        <v>401600</v>
      </c>
      <c r="M221" s="4" t="s">
        <v>314</v>
      </c>
    </row>
    <row r="222" spans="1:13" ht="15.75" x14ac:dyDescent="0.25">
      <c r="A222" s="4" t="s">
        <v>285</v>
      </c>
      <c r="B222" s="4" t="s">
        <v>389</v>
      </c>
      <c r="C222" s="4">
        <v>1</v>
      </c>
      <c r="D222" s="4">
        <v>7820</v>
      </c>
      <c r="E222" s="4" t="s">
        <v>122</v>
      </c>
      <c r="F222" s="8">
        <v>390000</v>
      </c>
      <c r="G222" s="8" t="s">
        <v>624</v>
      </c>
      <c r="H222" s="8" t="s">
        <v>625</v>
      </c>
      <c r="I222" s="1" t="s">
        <v>659</v>
      </c>
      <c r="J222" s="2" t="e">
        <v>#N/A</v>
      </c>
      <c r="K222" s="10">
        <f>ROUND(33622.12,2)</f>
        <v>33622.120000000003</v>
      </c>
      <c r="L222" s="4">
        <v>200304</v>
      </c>
      <c r="M222" s="4" t="s">
        <v>390</v>
      </c>
    </row>
    <row r="223" spans="1:13" ht="15.75" x14ac:dyDescent="0.25">
      <c r="A223" s="4" t="s">
        <v>285</v>
      </c>
      <c r="B223" s="4" t="s">
        <v>385</v>
      </c>
      <c r="C223" s="4">
        <v>1</v>
      </c>
      <c r="D223" s="4">
        <v>6967</v>
      </c>
      <c r="E223" s="4" t="s">
        <v>78</v>
      </c>
      <c r="F223" s="8">
        <v>150000</v>
      </c>
      <c r="G223" s="8" t="s">
        <v>632</v>
      </c>
      <c r="H223" s="8" t="s">
        <v>633</v>
      </c>
      <c r="I223" s="1" t="s">
        <v>659</v>
      </c>
      <c r="J223" s="2" t="e">
        <v>#N/A</v>
      </c>
      <c r="K223" s="10">
        <f>ROUND(27046,2)</f>
        <v>27046</v>
      </c>
      <c r="L223" s="4">
        <v>401007</v>
      </c>
      <c r="M223" s="4" t="s">
        <v>386</v>
      </c>
    </row>
    <row r="224" spans="1:13" ht="15.75" x14ac:dyDescent="0.2">
      <c r="A224" s="4" t="s">
        <v>285</v>
      </c>
      <c r="B224" s="4" t="s">
        <v>383</v>
      </c>
      <c r="C224" s="4">
        <v>1</v>
      </c>
      <c r="D224" s="4">
        <v>13856</v>
      </c>
      <c r="E224" s="4" t="s">
        <v>384</v>
      </c>
      <c r="F224" s="8">
        <v>320000</v>
      </c>
      <c r="G224" s="8" t="s">
        <v>646</v>
      </c>
      <c r="H224" s="8" t="s">
        <v>688</v>
      </c>
      <c r="I224" s="3" t="s">
        <v>619</v>
      </c>
      <c r="J224" s="2" t="s">
        <v>753</v>
      </c>
      <c r="K224" s="10">
        <f>ROUND(5000,2)</f>
        <v>5000</v>
      </c>
      <c r="L224" s="4">
        <v>402403</v>
      </c>
      <c r="M224" s="4">
        <v>12979</v>
      </c>
    </row>
    <row r="225" spans="1:13" ht="15.75" x14ac:dyDescent="0.2">
      <c r="A225" s="4" t="s">
        <v>285</v>
      </c>
      <c r="B225" s="4" t="s">
        <v>396</v>
      </c>
      <c r="C225" s="4">
        <v>1</v>
      </c>
      <c r="D225" s="4">
        <v>815</v>
      </c>
      <c r="E225" s="4" t="s">
        <v>233</v>
      </c>
      <c r="F225" s="8">
        <v>320000</v>
      </c>
      <c r="G225" s="8" t="s">
        <v>646</v>
      </c>
      <c r="H225" s="8" t="s">
        <v>688</v>
      </c>
      <c r="I225" s="3" t="s">
        <v>659</v>
      </c>
      <c r="J225" s="2" t="s">
        <v>754</v>
      </c>
      <c r="K225" s="10">
        <f>ROUND(6000,2)</f>
        <v>6000</v>
      </c>
      <c r="L225" s="4">
        <v>402403</v>
      </c>
      <c r="M225" s="4">
        <v>13033</v>
      </c>
    </row>
    <row r="226" spans="1:13" ht="15.75" x14ac:dyDescent="0.25">
      <c r="A226" s="4" t="s">
        <v>285</v>
      </c>
      <c r="B226" s="4" t="s">
        <v>397</v>
      </c>
      <c r="C226" s="4">
        <v>1</v>
      </c>
      <c r="D226" s="4">
        <v>2025</v>
      </c>
      <c r="E226" s="4" t="s">
        <v>174</v>
      </c>
      <c r="F226" s="8">
        <v>230000</v>
      </c>
      <c r="G226" s="8" t="s">
        <v>726</v>
      </c>
      <c r="H226" s="8" t="s">
        <v>727</v>
      </c>
      <c r="I226" s="1" t="s">
        <v>659</v>
      </c>
      <c r="J226" s="2" t="e">
        <v>#N/A</v>
      </c>
      <c r="K226" s="10">
        <f>ROUND(87835.17,2)</f>
        <v>87835.17</v>
      </c>
      <c r="L226" s="4">
        <v>202055</v>
      </c>
      <c r="M226" s="4" t="s">
        <v>398</v>
      </c>
    </row>
    <row r="227" spans="1:13" ht="15.75" x14ac:dyDescent="0.2">
      <c r="A227" s="4" t="s">
        <v>285</v>
      </c>
      <c r="B227" s="4" t="s">
        <v>381</v>
      </c>
      <c r="C227" s="4">
        <v>1</v>
      </c>
      <c r="D227" s="4">
        <v>11715</v>
      </c>
      <c r="E227" s="4" t="s">
        <v>382</v>
      </c>
      <c r="F227" s="8">
        <v>150000</v>
      </c>
      <c r="G227" s="8" t="s">
        <v>632</v>
      </c>
      <c r="H227" s="8" t="s">
        <v>633</v>
      </c>
      <c r="I227" s="3" t="s">
        <v>659</v>
      </c>
      <c r="J227" s="2" t="s">
        <v>755</v>
      </c>
      <c r="K227" s="10">
        <f>ROUND(13750,2)</f>
        <v>13750</v>
      </c>
      <c r="L227" s="4">
        <v>401020</v>
      </c>
      <c r="M227" s="4">
        <v>12866</v>
      </c>
    </row>
    <row r="228" spans="1:13" ht="15.75" x14ac:dyDescent="0.2">
      <c r="A228" s="4" t="s">
        <v>285</v>
      </c>
      <c r="B228" s="4" t="s">
        <v>381</v>
      </c>
      <c r="C228" s="4">
        <v>2</v>
      </c>
      <c r="D228" s="4">
        <v>11715</v>
      </c>
      <c r="E228" s="4" t="s">
        <v>382</v>
      </c>
      <c r="F228" s="8">
        <v>150000</v>
      </c>
      <c r="G228" s="8" t="s">
        <v>632</v>
      </c>
      <c r="H228" s="8" t="s">
        <v>633</v>
      </c>
      <c r="I228" s="3" t="s">
        <v>659</v>
      </c>
      <c r="J228" s="2" t="s">
        <v>755</v>
      </c>
      <c r="K228" s="10">
        <f>ROUND(6250,2)</f>
        <v>6250</v>
      </c>
      <c r="L228" s="4">
        <v>401020</v>
      </c>
      <c r="M228" s="4">
        <v>12866</v>
      </c>
    </row>
    <row r="229" spans="1:13" ht="15.75" x14ac:dyDescent="0.2">
      <c r="A229" s="4" t="s">
        <v>285</v>
      </c>
      <c r="B229" s="4" t="s">
        <v>404</v>
      </c>
      <c r="C229" s="4">
        <v>1</v>
      </c>
      <c r="D229" s="4">
        <v>3707</v>
      </c>
      <c r="E229" s="4" t="s">
        <v>37</v>
      </c>
      <c r="F229" s="8">
        <v>999999</v>
      </c>
      <c r="G229" s="8" t="s">
        <v>648</v>
      </c>
      <c r="H229" s="8" t="s">
        <v>648</v>
      </c>
      <c r="I229" s="3" t="s">
        <v>628</v>
      </c>
      <c r="J229" s="2" t="s">
        <v>756</v>
      </c>
      <c r="K229" s="10">
        <f>ROUND(5509,2)</f>
        <v>5509</v>
      </c>
      <c r="L229" s="4">
        <v>500303</v>
      </c>
      <c r="M229" s="4">
        <v>13190</v>
      </c>
    </row>
    <row r="230" spans="1:13" ht="15.75" x14ac:dyDescent="0.2">
      <c r="A230" s="4" t="s">
        <v>285</v>
      </c>
      <c r="B230" s="4" t="s">
        <v>387</v>
      </c>
      <c r="C230" s="4">
        <v>1</v>
      </c>
      <c r="D230" s="4">
        <v>3771</v>
      </c>
      <c r="E230" s="4" t="s">
        <v>388</v>
      </c>
      <c r="F230" s="8">
        <v>999999</v>
      </c>
      <c r="G230" s="8" t="s">
        <v>648</v>
      </c>
      <c r="H230" s="8" t="s">
        <v>648</v>
      </c>
      <c r="I230" s="3" t="s">
        <v>628</v>
      </c>
      <c r="J230" s="2" t="s">
        <v>756</v>
      </c>
      <c r="K230" s="10">
        <f>ROUND(12000,2)</f>
        <v>12000</v>
      </c>
      <c r="L230" s="4">
        <v>500303</v>
      </c>
      <c r="M230" s="4">
        <v>13190</v>
      </c>
    </row>
    <row r="231" spans="1:13" ht="15.75" x14ac:dyDescent="0.2">
      <c r="A231" s="4" t="s">
        <v>285</v>
      </c>
      <c r="B231" s="4" t="s">
        <v>299</v>
      </c>
      <c r="C231" s="4">
        <v>1</v>
      </c>
      <c r="D231" s="4">
        <v>16695</v>
      </c>
      <c r="E231" s="4" t="s">
        <v>300</v>
      </c>
      <c r="F231" s="8">
        <v>150000</v>
      </c>
      <c r="G231" s="8" t="s">
        <v>632</v>
      </c>
      <c r="H231" s="8" t="s">
        <v>633</v>
      </c>
      <c r="I231" s="3" t="s">
        <v>628</v>
      </c>
      <c r="J231" s="2" t="s">
        <v>671</v>
      </c>
      <c r="K231" s="10">
        <f>ROUND(7200,2)</f>
        <v>7200</v>
      </c>
      <c r="L231" s="4">
        <v>401007</v>
      </c>
      <c r="M231" s="4">
        <v>13031</v>
      </c>
    </row>
    <row r="232" spans="1:13" ht="15.75" x14ac:dyDescent="0.2">
      <c r="A232" s="4" t="s">
        <v>285</v>
      </c>
      <c r="B232" s="4" t="s">
        <v>284</v>
      </c>
      <c r="C232" s="4">
        <v>1</v>
      </c>
      <c r="D232" s="4">
        <v>9894</v>
      </c>
      <c r="E232" s="4" t="s">
        <v>15</v>
      </c>
      <c r="F232" s="8">
        <v>150000</v>
      </c>
      <c r="G232" s="8" t="s">
        <v>632</v>
      </c>
      <c r="H232" s="8" t="s">
        <v>633</v>
      </c>
      <c r="I232" s="3" t="s">
        <v>628</v>
      </c>
      <c r="J232" s="2" t="s">
        <v>671</v>
      </c>
      <c r="K232" s="10">
        <f>ROUND(22000,2)</f>
        <v>22000</v>
      </c>
      <c r="L232" s="4">
        <v>401007</v>
      </c>
      <c r="M232" s="4">
        <v>13031</v>
      </c>
    </row>
    <row r="233" spans="1:13" ht="15.75" x14ac:dyDescent="0.2">
      <c r="A233" s="4" t="s">
        <v>285</v>
      </c>
      <c r="B233" s="4" t="s">
        <v>399</v>
      </c>
      <c r="C233" s="4">
        <v>1</v>
      </c>
      <c r="D233" s="4">
        <v>12292</v>
      </c>
      <c r="E233" s="4" t="s">
        <v>400</v>
      </c>
      <c r="F233" s="8">
        <v>280000</v>
      </c>
      <c r="G233" s="8" t="s">
        <v>757</v>
      </c>
      <c r="H233" s="8" t="s">
        <v>758</v>
      </c>
      <c r="I233" s="3" t="s">
        <v>619</v>
      </c>
      <c r="J233" s="2" t="s">
        <v>656</v>
      </c>
      <c r="K233" s="10">
        <f>ROUND(5000,2)</f>
        <v>5000</v>
      </c>
      <c r="L233" s="4">
        <v>401016</v>
      </c>
      <c r="M233" s="4">
        <v>13263</v>
      </c>
    </row>
    <row r="234" spans="1:13" ht="15.75" x14ac:dyDescent="0.25">
      <c r="A234" s="4" t="s">
        <v>363</v>
      </c>
      <c r="B234" s="4" t="s">
        <v>407</v>
      </c>
      <c r="C234" s="4">
        <v>1</v>
      </c>
      <c r="D234" s="4">
        <v>12978</v>
      </c>
      <c r="E234" s="4" t="s">
        <v>308</v>
      </c>
      <c r="F234" s="8">
        <v>280000</v>
      </c>
      <c r="G234" s="8" t="s">
        <v>757</v>
      </c>
      <c r="H234" s="8" t="s">
        <v>758</v>
      </c>
      <c r="I234" s="1" t="s">
        <v>659</v>
      </c>
      <c r="J234" s="2" t="e">
        <v>#N/A</v>
      </c>
      <c r="K234" s="10">
        <f>ROUND(10812.24,2)</f>
        <v>10812.24</v>
      </c>
      <c r="L234" s="4">
        <v>401016</v>
      </c>
      <c r="M234" s="4" t="s">
        <v>408</v>
      </c>
    </row>
    <row r="235" spans="1:13" ht="15.75" x14ac:dyDescent="0.25">
      <c r="A235" s="4" t="s">
        <v>363</v>
      </c>
      <c r="B235" s="4" t="s">
        <v>362</v>
      </c>
      <c r="C235" s="4">
        <v>1</v>
      </c>
      <c r="D235" s="4">
        <v>16784</v>
      </c>
      <c r="E235" s="4" t="s">
        <v>364</v>
      </c>
      <c r="F235" s="8">
        <v>220000</v>
      </c>
      <c r="G235" s="8" t="s">
        <v>717</v>
      </c>
      <c r="H235" s="8" t="s">
        <v>627</v>
      </c>
      <c r="I235" s="1" t="s">
        <v>659</v>
      </c>
      <c r="J235" s="2" t="e">
        <v>#N/A</v>
      </c>
      <c r="K235" s="10">
        <f>ROUND(16500,2)</f>
        <v>16500</v>
      </c>
      <c r="L235" s="4">
        <v>401000</v>
      </c>
      <c r="M235" s="4" t="s">
        <v>213</v>
      </c>
    </row>
    <row r="236" spans="1:13" ht="15.75" x14ac:dyDescent="0.2">
      <c r="A236" s="4" t="s">
        <v>363</v>
      </c>
      <c r="B236" s="4" t="s">
        <v>418</v>
      </c>
      <c r="C236" s="4">
        <v>1</v>
      </c>
      <c r="D236" s="4">
        <v>3529</v>
      </c>
      <c r="E236" s="4" t="s">
        <v>2</v>
      </c>
      <c r="F236" s="8">
        <v>350000</v>
      </c>
      <c r="G236" s="8" t="s">
        <v>711</v>
      </c>
      <c r="H236" s="8" t="s">
        <v>712</v>
      </c>
      <c r="I236" s="3" t="s">
        <v>659</v>
      </c>
      <c r="J236" s="2" t="s">
        <v>713</v>
      </c>
      <c r="K236" s="10">
        <f>ROUND(10000,2)</f>
        <v>10000</v>
      </c>
      <c r="L236" s="4">
        <v>201202</v>
      </c>
      <c r="M236" s="4">
        <v>10879</v>
      </c>
    </row>
    <row r="237" spans="1:13" ht="15.75" x14ac:dyDescent="0.2">
      <c r="A237" s="4" t="s">
        <v>363</v>
      </c>
      <c r="B237" s="4" t="s">
        <v>421</v>
      </c>
      <c r="C237" s="4">
        <v>1</v>
      </c>
      <c r="D237" s="4">
        <v>902</v>
      </c>
      <c r="E237" s="4" t="s">
        <v>422</v>
      </c>
      <c r="F237" s="8">
        <v>261500</v>
      </c>
      <c r="G237" s="8" t="s">
        <v>705</v>
      </c>
      <c r="H237" s="8" t="s">
        <v>627</v>
      </c>
      <c r="I237" s="3" t="s">
        <v>659</v>
      </c>
      <c r="J237" s="2" t="s">
        <v>759</v>
      </c>
      <c r="K237" s="10">
        <f>ROUND(8231,2)</f>
        <v>8231</v>
      </c>
      <c r="L237" s="4">
        <v>401024</v>
      </c>
      <c r="M237" s="4">
        <v>11962</v>
      </c>
    </row>
    <row r="238" spans="1:13" ht="15.75" x14ac:dyDescent="0.2">
      <c r="A238" s="4" t="s">
        <v>363</v>
      </c>
      <c r="B238" s="4" t="s">
        <v>412</v>
      </c>
      <c r="C238" s="4">
        <v>1</v>
      </c>
      <c r="D238" s="4">
        <v>3290</v>
      </c>
      <c r="E238" s="4" t="s">
        <v>413</v>
      </c>
      <c r="F238" s="8">
        <v>300000</v>
      </c>
      <c r="G238" s="8" t="s">
        <v>760</v>
      </c>
      <c r="H238" s="8" t="s">
        <v>642</v>
      </c>
      <c r="I238" s="3" t="s">
        <v>619</v>
      </c>
      <c r="J238" s="2" t="s">
        <v>761</v>
      </c>
      <c r="K238" s="10">
        <f>ROUND(15000,2)</f>
        <v>15000</v>
      </c>
      <c r="L238" s="4">
        <v>400711</v>
      </c>
      <c r="M238" s="4">
        <v>11152</v>
      </c>
    </row>
    <row r="239" spans="1:13" ht="15.75" x14ac:dyDescent="0.2">
      <c r="A239" s="4" t="s">
        <v>363</v>
      </c>
      <c r="B239" s="4" t="s">
        <v>405</v>
      </c>
      <c r="C239" s="4">
        <v>1</v>
      </c>
      <c r="D239" s="4">
        <v>16107</v>
      </c>
      <c r="E239" s="4" t="s">
        <v>406</v>
      </c>
      <c r="F239" s="8">
        <v>300000</v>
      </c>
      <c r="G239" s="8" t="s">
        <v>760</v>
      </c>
      <c r="H239" s="8" t="s">
        <v>642</v>
      </c>
      <c r="I239" s="3" t="s">
        <v>619</v>
      </c>
      <c r="J239" s="2" t="s">
        <v>761</v>
      </c>
      <c r="K239" s="10">
        <f>ROUND(30000,2)</f>
        <v>30000</v>
      </c>
      <c r="L239" s="4">
        <v>400711</v>
      </c>
      <c r="M239" s="4">
        <v>11152</v>
      </c>
    </row>
    <row r="240" spans="1:13" ht="15.75" x14ac:dyDescent="0.2">
      <c r="A240" s="4" t="s">
        <v>394</v>
      </c>
      <c r="B240" s="4" t="s">
        <v>419</v>
      </c>
      <c r="C240" s="4">
        <v>1</v>
      </c>
      <c r="D240" s="4">
        <v>1694</v>
      </c>
      <c r="E240" s="4" t="s">
        <v>420</v>
      </c>
      <c r="F240" s="8">
        <v>390000</v>
      </c>
      <c r="G240" s="8" t="s">
        <v>664</v>
      </c>
      <c r="H240" s="8" t="s">
        <v>664</v>
      </c>
      <c r="I240" s="3" t="s">
        <v>659</v>
      </c>
      <c r="J240" s="2" t="s">
        <v>762</v>
      </c>
      <c r="K240" s="10">
        <f>ROUND(15809.72,2)</f>
        <v>15809.72</v>
      </c>
      <c r="L240" s="4">
        <v>401600</v>
      </c>
      <c r="M240" s="4">
        <v>11975</v>
      </c>
    </row>
    <row r="241" spans="1:13" ht="15.75" x14ac:dyDescent="0.2">
      <c r="A241" s="4" t="s">
        <v>394</v>
      </c>
      <c r="B241" s="4" t="s">
        <v>423</v>
      </c>
      <c r="C241" s="4">
        <v>1</v>
      </c>
      <c r="D241" s="4">
        <v>1694</v>
      </c>
      <c r="E241" s="4" t="s">
        <v>420</v>
      </c>
      <c r="F241" s="8">
        <v>390000</v>
      </c>
      <c r="G241" s="8" t="s">
        <v>664</v>
      </c>
      <c r="H241" s="8" t="s">
        <v>664</v>
      </c>
      <c r="I241" s="3" t="s">
        <v>659</v>
      </c>
      <c r="J241" s="2" t="s">
        <v>762</v>
      </c>
      <c r="K241" s="10">
        <f>ROUND(15809.72,2)</f>
        <v>15809.72</v>
      </c>
      <c r="L241" s="4">
        <v>401600</v>
      </c>
      <c r="M241" s="4">
        <v>11975</v>
      </c>
    </row>
    <row r="242" spans="1:13" ht="15.75" x14ac:dyDescent="0.25">
      <c r="A242" s="4" t="s">
        <v>394</v>
      </c>
      <c r="B242" s="4" t="s">
        <v>416</v>
      </c>
      <c r="C242" s="4">
        <v>1</v>
      </c>
      <c r="D242" s="4">
        <v>8106</v>
      </c>
      <c r="E242" s="4" t="s">
        <v>188</v>
      </c>
      <c r="F242" s="8">
        <v>390000</v>
      </c>
      <c r="G242" s="8" t="s">
        <v>664</v>
      </c>
      <c r="H242" s="8" t="s">
        <v>664</v>
      </c>
      <c r="I242" s="1" t="s">
        <v>659</v>
      </c>
      <c r="J242" s="2" t="e">
        <v>#N/A</v>
      </c>
      <c r="K242" s="10">
        <f>ROUND(70218.73,2)</f>
        <v>70218.73</v>
      </c>
      <c r="L242" s="4">
        <v>401600</v>
      </c>
      <c r="M242" s="4" t="s">
        <v>417</v>
      </c>
    </row>
    <row r="243" spans="1:13" ht="15.75" x14ac:dyDescent="0.25">
      <c r="A243" s="4" t="s">
        <v>394</v>
      </c>
      <c r="B243" s="4" t="s">
        <v>415</v>
      </c>
      <c r="C243" s="4">
        <v>1</v>
      </c>
      <c r="D243" s="4">
        <v>3529</v>
      </c>
      <c r="E243" s="4" t="s">
        <v>2</v>
      </c>
      <c r="F243" s="8">
        <v>390000</v>
      </c>
      <c r="G243" s="8" t="s">
        <v>624</v>
      </c>
      <c r="H243" s="8" t="s">
        <v>625</v>
      </c>
      <c r="I243" s="1" t="s">
        <v>659</v>
      </c>
      <c r="J243" s="2" t="e">
        <v>#N/A</v>
      </c>
      <c r="K243" s="10">
        <f>ROUND(9140.7,2)</f>
        <v>9140.7000000000007</v>
      </c>
      <c r="L243" s="4">
        <v>200304</v>
      </c>
      <c r="M243" s="4" t="s">
        <v>390</v>
      </c>
    </row>
    <row r="244" spans="1:13" ht="15.75" x14ac:dyDescent="0.2">
      <c r="A244" s="4" t="s">
        <v>394</v>
      </c>
      <c r="B244" s="4" t="s">
        <v>428</v>
      </c>
      <c r="C244" s="4">
        <v>1</v>
      </c>
      <c r="D244" s="4">
        <v>3529</v>
      </c>
      <c r="E244" s="4" t="s">
        <v>2</v>
      </c>
      <c r="F244" s="8">
        <v>390000</v>
      </c>
      <c r="G244" s="8" t="s">
        <v>664</v>
      </c>
      <c r="H244" s="8" t="s">
        <v>664</v>
      </c>
      <c r="I244" s="3" t="s">
        <v>659</v>
      </c>
      <c r="J244" s="2" t="s">
        <v>724</v>
      </c>
      <c r="K244" s="10">
        <f>ROUND(8451,2)</f>
        <v>8451</v>
      </c>
      <c r="L244" s="4">
        <v>401600</v>
      </c>
      <c r="M244" s="4">
        <v>11168</v>
      </c>
    </row>
    <row r="245" spans="1:13" ht="15.75" x14ac:dyDescent="0.2">
      <c r="A245" s="4" t="s">
        <v>394</v>
      </c>
      <c r="B245" s="4" t="s">
        <v>430</v>
      </c>
      <c r="C245" s="4">
        <v>1</v>
      </c>
      <c r="D245" s="4">
        <v>9149</v>
      </c>
      <c r="E245" s="4" t="s">
        <v>431</v>
      </c>
      <c r="F245" s="8">
        <v>270000</v>
      </c>
      <c r="G245" s="8" t="s">
        <v>621</v>
      </c>
      <c r="H245" s="8" t="s">
        <v>622</v>
      </c>
      <c r="I245" s="3" t="s">
        <v>619</v>
      </c>
      <c r="J245" s="2" t="s">
        <v>763</v>
      </c>
      <c r="K245" s="10">
        <f>ROUND(18853,2)</f>
        <v>18853</v>
      </c>
      <c r="L245" s="4">
        <v>402001</v>
      </c>
      <c r="M245" s="4">
        <v>11111</v>
      </c>
    </row>
    <row r="246" spans="1:13" ht="15.75" x14ac:dyDescent="0.2">
      <c r="A246" s="4" t="s">
        <v>380</v>
      </c>
      <c r="B246" s="4" t="s">
        <v>426</v>
      </c>
      <c r="C246" s="4">
        <v>1</v>
      </c>
      <c r="D246" s="4">
        <v>5914</v>
      </c>
      <c r="E246" s="4" t="s">
        <v>427</v>
      </c>
      <c r="F246" s="8">
        <v>999999</v>
      </c>
      <c r="G246" s="8" t="s">
        <v>648</v>
      </c>
      <c r="H246" s="8" t="s">
        <v>648</v>
      </c>
      <c r="I246" s="3" t="s">
        <v>628</v>
      </c>
      <c r="J246" s="2" t="s">
        <v>764</v>
      </c>
      <c r="K246" s="10">
        <f>ROUND(9800,2)</f>
        <v>9800</v>
      </c>
      <c r="L246" s="4">
        <v>500303</v>
      </c>
      <c r="M246" s="4">
        <v>11446</v>
      </c>
    </row>
    <row r="247" spans="1:13" ht="15.75" x14ac:dyDescent="0.2">
      <c r="A247" s="4" t="s">
        <v>353</v>
      </c>
      <c r="B247" s="4" t="s">
        <v>432</v>
      </c>
      <c r="C247" s="4">
        <v>1</v>
      </c>
      <c r="D247" s="4">
        <v>1339</v>
      </c>
      <c r="E247" s="4" t="s">
        <v>165</v>
      </c>
      <c r="F247" s="8">
        <v>310000</v>
      </c>
      <c r="G247" s="8" t="s">
        <v>765</v>
      </c>
      <c r="H247" s="8" t="s">
        <v>648</v>
      </c>
      <c r="I247" s="3" t="s">
        <v>628</v>
      </c>
      <c r="J247" s="2" t="s">
        <v>766</v>
      </c>
      <c r="K247" s="10">
        <f>ROUND(57400,2)</f>
        <v>57400</v>
      </c>
      <c r="L247" s="4">
        <v>500402</v>
      </c>
      <c r="M247" s="4">
        <v>10300</v>
      </c>
    </row>
    <row r="248" spans="1:13" ht="15.75" x14ac:dyDescent="0.2">
      <c r="A248" s="4" t="s">
        <v>353</v>
      </c>
      <c r="B248" s="4" t="s">
        <v>433</v>
      </c>
      <c r="C248" s="4">
        <v>1</v>
      </c>
      <c r="D248" s="4">
        <v>1339</v>
      </c>
      <c r="E248" s="4" t="s">
        <v>165</v>
      </c>
      <c r="F248" s="8">
        <v>310000</v>
      </c>
      <c r="G248" s="8" t="s">
        <v>765</v>
      </c>
      <c r="H248" s="8" t="s">
        <v>648</v>
      </c>
      <c r="I248" s="3" t="s">
        <v>628</v>
      </c>
      <c r="J248" s="2" t="s">
        <v>767</v>
      </c>
      <c r="K248" s="10">
        <f>ROUND(141680,2)</f>
        <v>141680</v>
      </c>
      <c r="L248" s="4">
        <v>500401</v>
      </c>
      <c r="M248" s="4">
        <v>12189</v>
      </c>
    </row>
    <row r="249" spans="1:13" ht="15.75" x14ac:dyDescent="0.2">
      <c r="A249" s="4" t="s">
        <v>353</v>
      </c>
      <c r="B249" s="4" t="s">
        <v>424</v>
      </c>
      <c r="C249" s="4">
        <v>1</v>
      </c>
      <c r="D249" s="4">
        <v>13852</v>
      </c>
      <c r="E249" s="4" t="s">
        <v>425</v>
      </c>
      <c r="F249" s="8">
        <v>290000</v>
      </c>
      <c r="G249" s="8" t="s">
        <v>636</v>
      </c>
      <c r="H249" s="8" t="s">
        <v>637</v>
      </c>
      <c r="I249" s="3" t="s">
        <v>628</v>
      </c>
      <c r="J249" s="2" t="s">
        <v>768</v>
      </c>
      <c r="K249" s="10">
        <f>ROUND(7500,2)</f>
        <v>7500</v>
      </c>
      <c r="L249" s="4">
        <v>401801</v>
      </c>
      <c r="M249" s="4">
        <v>11501</v>
      </c>
    </row>
    <row r="250" spans="1:13" ht="15.75" x14ac:dyDescent="0.2">
      <c r="A250" s="4" t="s">
        <v>353</v>
      </c>
      <c r="B250" s="4" t="s">
        <v>435</v>
      </c>
      <c r="C250" s="4">
        <v>1</v>
      </c>
      <c r="D250" s="4">
        <v>1339</v>
      </c>
      <c r="E250" s="4" t="s">
        <v>165</v>
      </c>
      <c r="F250" s="8">
        <v>310000</v>
      </c>
      <c r="G250" s="8" t="s">
        <v>765</v>
      </c>
      <c r="H250" s="8" t="s">
        <v>648</v>
      </c>
      <c r="I250" s="3" t="s">
        <v>628</v>
      </c>
      <c r="J250" s="2" t="s">
        <v>769</v>
      </c>
      <c r="K250" s="10">
        <f>ROUND(25100,2)</f>
        <v>25100</v>
      </c>
      <c r="L250" s="4">
        <v>500402</v>
      </c>
      <c r="M250" s="4">
        <v>11503</v>
      </c>
    </row>
    <row r="251" spans="1:13" ht="15.75" x14ac:dyDescent="0.25">
      <c r="A251" s="4" t="s">
        <v>353</v>
      </c>
      <c r="B251" s="4" t="s">
        <v>437</v>
      </c>
      <c r="C251" s="4">
        <v>1</v>
      </c>
      <c r="D251" s="4">
        <v>3529</v>
      </c>
      <c r="E251" s="4" t="s">
        <v>2</v>
      </c>
      <c r="F251" s="8">
        <v>390000</v>
      </c>
      <c r="G251" s="8" t="s">
        <v>624</v>
      </c>
      <c r="H251" s="8" t="s">
        <v>625</v>
      </c>
      <c r="I251" s="1" t="s">
        <v>619</v>
      </c>
      <c r="J251" s="2" t="e">
        <v>#N/A</v>
      </c>
      <c r="K251" s="10">
        <f>ROUND(8476.28,2)</f>
        <v>8476.2800000000007</v>
      </c>
      <c r="L251" s="4">
        <v>200311</v>
      </c>
      <c r="M251" s="4" t="s">
        <v>438</v>
      </c>
    </row>
    <row r="252" spans="1:13" ht="15.75" x14ac:dyDescent="0.2">
      <c r="A252" s="4" t="s">
        <v>353</v>
      </c>
      <c r="B252" s="4" t="s">
        <v>429</v>
      </c>
      <c r="C252" s="4">
        <v>1</v>
      </c>
      <c r="D252" s="4">
        <v>3529</v>
      </c>
      <c r="E252" s="4" t="s">
        <v>2</v>
      </c>
      <c r="F252" s="8">
        <v>390000</v>
      </c>
      <c r="G252" s="8" t="s">
        <v>664</v>
      </c>
      <c r="H252" s="8" t="s">
        <v>664</v>
      </c>
      <c r="I252" s="3" t="s">
        <v>659</v>
      </c>
      <c r="J252" s="2" t="s">
        <v>770</v>
      </c>
      <c r="K252" s="10">
        <f>ROUND(5950,2)</f>
        <v>5950</v>
      </c>
      <c r="L252" s="4">
        <v>401600</v>
      </c>
      <c r="M252" s="4">
        <v>11268</v>
      </c>
    </row>
    <row r="253" spans="1:13" ht="15.75" x14ac:dyDescent="0.2">
      <c r="A253" s="4" t="s">
        <v>353</v>
      </c>
      <c r="B253" s="4" t="s">
        <v>439</v>
      </c>
      <c r="C253" s="4">
        <v>1</v>
      </c>
      <c r="D253" s="4">
        <v>1339</v>
      </c>
      <c r="E253" s="4" t="s">
        <v>165</v>
      </c>
      <c r="F253" s="8">
        <v>310000</v>
      </c>
      <c r="G253" s="8" t="s">
        <v>765</v>
      </c>
      <c r="H253" s="8" t="s">
        <v>648</v>
      </c>
      <c r="I253" s="3" t="s">
        <v>628</v>
      </c>
      <c r="J253" s="2" t="s">
        <v>771</v>
      </c>
      <c r="K253" s="10">
        <f>ROUND(43600,2)</f>
        <v>43600</v>
      </c>
      <c r="L253" s="4">
        <v>500402</v>
      </c>
      <c r="M253" s="4">
        <v>13029</v>
      </c>
    </row>
    <row r="254" spans="1:13" ht="15.75" x14ac:dyDescent="0.2">
      <c r="A254" s="4" t="s">
        <v>166</v>
      </c>
      <c r="B254" s="4" t="s">
        <v>436</v>
      </c>
      <c r="C254" s="4">
        <v>1</v>
      </c>
      <c r="D254" s="4">
        <v>1339</v>
      </c>
      <c r="E254" s="4" t="s">
        <v>165</v>
      </c>
      <c r="F254" s="8">
        <v>999999</v>
      </c>
      <c r="G254" s="8" t="s">
        <v>627</v>
      </c>
      <c r="H254" s="8" t="s">
        <v>627</v>
      </c>
      <c r="I254" s="3" t="s">
        <v>628</v>
      </c>
      <c r="J254" s="2" t="s">
        <v>772</v>
      </c>
      <c r="K254" s="10">
        <f>ROUND(25400,2)</f>
        <v>25400</v>
      </c>
      <c r="L254" s="4">
        <v>401035</v>
      </c>
      <c r="M254" s="4">
        <v>12777</v>
      </c>
    </row>
    <row r="255" spans="1:13" ht="15.75" x14ac:dyDescent="0.2">
      <c r="A255" s="4" t="s">
        <v>166</v>
      </c>
      <c r="B255" s="4" t="s">
        <v>443</v>
      </c>
      <c r="C255" s="4">
        <v>1</v>
      </c>
      <c r="D255" s="4">
        <v>3529</v>
      </c>
      <c r="E255" s="4" t="s">
        <v>2</v>
      </c>
      <c r="F255" s="8">
        <v>390000</v>
      </c>
      <c r="G255" s="8" t="s">
        <v>664</v>
      </c>
      <c r="H255" s="8" t="s">
        <v>664</v>
      </c>
      <c r="I255" s="3" t="s">
        <v>659</v>
      </c>
      <c r="J255" s="2" t="s">
        <v>725</v>
      </c>
      <c r="K255" s="10">
        <f>ROUND(6760,2)</f>
        <v>6760</v>
      </c>
      <c r="L255" s="4">
        <v>401600</v>
      </c>
      <c r="M255" s="4">
        <v>11281</v>
      </c>
    </row>
    <row r="256" spans="1:13" ht="15.75" x14ac:dyDescent="0.2">
      <c r="A256" s="4" t="s">
        <v>434</v>
      </c>
      <c r="B256" s="4" t="s">
        <v>448</v>
      </c>
      <c r="C256" s="4">
        <v>1</v>
      </c>
      <c r="D256" s="4">
        <v>6748</v>
      </c>
      <c r="E256" s="4" t="s">
        <v>46</v>
      </c>
      <c r="F256" s="8">
        <v>390000</v>
      </c>
      <c r="G256" s="8" t="s">
        <v>664</v>
      </c>
      <c r="H256" s="8" t="s">
        <v>664</v>
      </c>
      <c r="I256" s="3" t="s">
        <v>659</v>
      </c>
      <c r="J256" s="2" t="s">
        <v>800</v>
      </c>
      <c r="K256" s="10">
        <f>ROUND(5030.98,2)</f>
        <v>5030.9799999999996</v>
      </c>
      <c r="L256" s="4">
        <v>401600</v>
      </c>
      <c r="M256" s="4">
        <v>13185</v>
      </c>
    </row>
    <row r="257" spans="1:13" ht="15.75" x14ac:dyDescent="0.2">
      <c r="A257" s="4" t="s">
        <v>322</v>
      </c>
      <c r="B257" s="4" t="s">
        <v>446</v>
      </c>
      <c r="C257" s="4">
        <v>1</v>
      </c>
      <c r="D257" s="4">
        <v>14849</v>
      </c>
      <c r="E257" s="4" t="s">
        <v>395</v>
      </c>
      <c r="F257" s="8">
        <v>311410</v>
      </c>
      <c r="G257" s="8" t="s">
        <v>773</v>
      </c>
      <c r="H257" s="8" t="s">
        <v>627</v>
      </c>
      <c r="I257" s="3" t="s">
        <v>619</v>
      </c>
      <c r="J257" s="2" t="s">
        <v>774</v>
      </c>
      <c r="K257" s="10">
        <f>ROUND(40000,2)</f>
        <v>40000</v>
      </c>
      <c r="L257" s="4">
        <v>400706</v>
      </c>
      <c r="M257" s="4">
        <v>11721</v>
      </c>
    </row>
    <row r="258" spans="1:13" ht="15.75" x14ac:dyDescent="0.25">
      <c r="A258" s="4" t="s">
        <v>322</v>
      </c>
      <c r="B258" s="4" t="s">
        <v>453</v>
      </c>
      <c r="C258" s="4">
        <v>1</v>
      </c>
      <c r="D258" s="4">
        <v>757</v>
      </c>
      <c r="E258" s="4" t="s">
        <v>7</v>
      </c>
      <c r="F258" s="8">
        <v>390000</v>
      </c>
      <c r="G258" s="8" t="s">
        <v>624</v>
      </c>
      <c r="H258" s="8" t="s">
        <v>625</v>
      </c>
      <c r="I258" s="1" t="s">
        <v>659</v>
      </c>
      <c r="J258" s="2" t="e">
        <v>#N/A</v>
      </c>
      <c r="K258" s="10">
        <f>ROUND(26774.38,2)</f>
        <v>26774.38</v>
      </c>
      <c r="L258" s="4">
        <v>200304</v>
      </c>
      <c r="M258" s="4" t="s">
        <v>454</v>
      </c>
    </row>
    <row r="259" spans="1:13" ht="15.75" x14ac:dyDescent="0.2">
      <c r="A259" s="4" t="s">
        <v>322</v>
      </c>
      <c r="B259" s="4" t="s">
        <v>450</v>
      </c>
      <c r="C259" s="4">
        <v>1</v>
      </c>
      <c r="D259" s="4">
        <v>13293</v>
      </c>
      <c r="E259" s="4" t="s">
        <v>440</v>
      </c>
      <c r="F259" s="8">
        <v>999999</v>
      </c>
      <c r="G259" s="8" t="s">
        <v>627</v>
      </c>
      <c r="H259" s="8" t="s">
        <v>627</v>
      </c>
      <c r="I259" s="3" t="s">
        <v>659</v>
      </c>
      <c r="J259" s="2" t="s">
        <v>663</v>
      </c>
      <c r="K259" s="10">
        <f>ROUND(7409,2)</f>
        <v>7409</v>
      </c>
      <c r="L259" s="4">
        <v>401035</v>
      </c>
      <c r="M259" s="4">
        <v>12328</v>
      </c>
    </row>
    <row r="260" spans="1:13" ht="15.75" x14ac:dyDescent="0.25">
      <c r="A260" s="4" t="s">
        <v>322</v>
      </c>
      <c r="B260" s="4" t="s">
        <v>449</v>
      </c>
      <c r="C260" s="4">
        <v>1</v>
      </c>
      <c r="D260" s="4">
        <v>2479</v>
      </c>
      <c r="E260" s="4" t="s">
        <v>140</v>
      </c>
      <c r="F260" s="8">
        <v>390000</v>
      </c>
      <c r="G260" s="8" t="s">
        <v>624</v>
      </c>
      <c r="H260" s="8" t="s">
        <v>658</v>
      </c>
      <c r="I260" s="1" t="s">
        <v>619</v>
      </c>
      <c r="J260" s="2" t="e">
        <v>#N/A</v>
      </c>
      <c r="K260" s="10">
        <f>ROUND(68099.99,2)</f>
        <v>68099.990000000005</v>
      </c>
      <c r="L260" s="4">
        <v>200123</v>
      </c>
      <c r="M260" s="4" t="s">
        <v>228</v>
      </c>
    </row>
    <row r="261" spans="1:13" ht="15.75" x14ac:dyDescent="0.2">
      <c r="A261" s="4" t="s">
        <v>322</v>
      </c>
      <c r="B261" s="4" t="s">
        <v>456</v>
      </c>
      <c r="C261" s="4">
        <v>1</v>
      </c>
      <c r="D261" s="4">
        <v>16997</v>
      </c>
      <c r="E261" s="4" t="s">
        <v>457</v>
      </c>
      <c r="F261" s="8">
        <v>150000</v>
      </c>
      <c r="G261" s="8" t="s">
        <v>632</v>
      </c>
      <c r="H261" s="8" t="s">
        <v>633</v>
      </c>
      <c r="I261" s="3" t="s">
        <v>628</v>
      </c>
      <c r="J261" s="2" t="s">
        <v>775</v>
      </c>
      <c r="K261" s="10">
        <f>ROUND(1870,2)</f>
        <v>1870</v>
      </c>
      <c r="L261" s="4">
        <v>401020</v>
      </c>
      <c r="M261" s="4">
        <v>13224</v>
      </c>
    </row>
    <row r="262" spans="1:13" ht="15.75" x14ac:dyDescent="0.2">
      <c r="A262" s="4" t="s">
        <v>322</v>
      </c>
      <c r="B262" s="4" t="s">
        <v>456</v>
      </c>
      <c r="C262" s="4">
        <v>2</v>
      </c>
      <c r="D262" s="4">
        <v>16997</v>
      </c>
      <c r="E262" s="4" t="s">
        <v>457</v>
      </c>
      <c r="F262" s="8">
        <v>150000</v>
      </c>
      <c r="G262" s="8" t="s">
        <v>632</v>
      </c>
      <c r="H262" s="8" t="s">
        <v>633</v>
      </c>
      <c r="I262" s="3" t="s">
        <v>628</v>
      </c>
      <c r="J262" s="2" t="s">
        <v>657</v>
      </c>
      <c r="K262" s="10">
        <f>ROUND(1870,2)</f>
        <v>1870</v>
      </c>
      <c r="L262" s="4">
        <v>401020</v>
      </c>
      <c r="M262" s="4">
        <v>11443</v>
      </c>
    </row>
    <row r="263" spans="1:13" ht="15.75" x14ac:dyDescent="0.2">
      <c r="A263" s="4" t="s">
        <v>322</v>
      </c>
      <c r="B263" s="4" t="s">
        <v>456</v>
      </c>
      <c r="C263" s="4">
        <v>3</v>
      </c>
      <c r="D263" s="4">
        <v>16997</v>
      </c>
      <c r="E263" s="4" t="s">
        <v>457</v>
      </c>
      <c r="F263" s="8">
        <v>150000</v>
      </c>
      <c r="G263" s="8" t="s">
        <v>632</v>
      </c>
      <c r="H263" s="8" t="s">
        <v>633</v>
      </c>
      <c r="I263" s="3" t="s">
        <v>628</v>
      </c>
      <c r="J263" s="2" t="s">
        <v>776</v>
      </c>
      <c r="K263" s="10">
        <f>ROUND(1870,2)</f>
        <v>1870</v>
      </c>
      <c r="L263" s="4">
        <v>401020</v>
      </c>
      <c r="M263" s="4">
        <v>11447</v>
      </c>
    </row>
    <row r="264" spans="1:13" ht="15.75" x14ac:dyDescent="0.2">
      <c r="A264" s="4" t="s">
        <v>119</v>
      </c>
      <c r="B264" s="4" t="s">
        <v>444</v>
      </c>
      <c r="C264" s="4">
        <v>1</v>
      </c>
      <c r="D264" s="4">
        <v>1644</v>
      </c>
      <c r="E264" s="4" t="s">
        <v>182</v>
      </c>
      <c r="F264" s="8">
        <v>381600</v>
      </c>
      <c r="G264" s="8" t="s">
        <v>650</v>
      </c>
      <c r="H264" s="8" t="s">
        <v>651</v>
      </c>
      <c r="I264" s="3" t="s">
        <v>628</v>
      </c>
      <c r="J264" s="2" t="s">
        <v>777</v>
      </c>
      <c r="K264" s="10">
        <f>ROUND(7784.59,2)</f>
        <v>7784.59</v>
      </c>
      <c r="L264" s="4">
        <v>300302</v>
      </c>
      <c r="M264" s="4">
        <v>13143</v>
      </c>
    </row>
    <row r="265" spans="1:13" ht="15.75" x14ac:dyDescent="0.2">
      <c r="A265" s="4" t="s">
        <v>119</v>
      </c>
      <c r="B265" s="4" t="s">
        <v>441</v>
      </c>
      <c r="C265" s="4">
        <v>1</v>
      </c>
      <c r="D265" s="4">
        <v>1644</v>
      </c>
      <c r="E265" s="4" t="s">
        <v>182</v>
      </c>
      <c r="F265" s="8">
        <v>381600</v>
      </c>
      <c r="G265" s="8" t="s">
        <v>650</v>
      </c>
      <c r="H265" s="8" t="s">
        <v>651</v>
      </c>
      <c r="I265" s="3" t="s">
        <v>628</v>
      </c>
      <c r="J265" s="2" t="s">
        <v>777</v>
      </c>
      <c r="K265" s="10">
        <f>ROUND(5940,2)</f>
        <v>5940</v>
      </c>
      <c r="L265" s="4">
        <v>300302</v>
      </c>
      <c r="M265" s="4">
        <v>13143</v>
      </c>
    </row>
    <row r="266" spans="1:13" ht="15.75" x14ac:dyDescent="0.2">
      <c r="A266" s="4" t="s">
        <v>229</v>
      </c>
      <c r="B266" s="4" t="s">
        <v>460</v>
      </c>
      <c r="C266" s="4">
        <v>1</v>
      </c>
      <c r="D266" s="4">
        <v>3539</v>
      </c>
      <c r="E266" s="4" t="s">
        <v>461</v>
      </c>
      <c r="F266" s="8">
        <v>999999</v>
      </c>
      <c r="G266" s="8" t="s">
        <v>627</v>
      </c>
      <c r="H266" s="8" t="s">
        <v>627</v>
      </c>
      <c r="I266" s="3" t="s">
        <v>628</v>
      </c>
      <c r="J266" s="2" t="s">
        <v>690</v>
      </c>
      <c r="K266" s="10">
        <f>ROUND(5454.9,2)</f>
        <v>5454.9</v>
      </c>
      <c r="L266" s="4">
        <v>401035</v>
      </c>
      <c r="M266" s="4">
        <v>12852</v>
      </c>
    </row>
    <row r="267" spans="1:13" ht="15.75" x14ac:dyDescent="0.2">
      <c r="A267" s="4" t="s">
        <v>392</v>
      </c>
      <c r="B267" s="4" t="s">
        <v>411</v>
      </c>
      <c r="C267" s="4">
        <v>1</v>
      </c>
      <c r="D267" s="4">
        <v>1252</v>
      </c>
      <c r="E267" s="4" t="s">
        <v>221</v>
      </c>
      <c r="F267" s="8" t="e">
        <v>#N/A</v>
      </c>
      <c r="G267" s="8" t="e">
        <v>#N/A</v>
      </c>
      <c r="H267" s="8" t="e">
        <v>#N/A</v>
      </c>
      <c r="I267" s="3" t="s">
        <v>628</v>
      </c>
      <c r="J267" s="2" t="s">
        <v>752</v>
      </c>
      <c r="K267" s="10">
        <f>ROUND(3270,2)</f>
        <v>3270</v>
      </c>
      <c r="L267" s="4">
        <v>400117</v>
      </c>
      <c r="M267" s="4">
        <v>11658</v>
      </c>
    </row>
    <row r="268" spans="1:13" ht="15.75" x14ac:dyDescent="0.2">
      <c r="A268" s="4" t="s">
        <v>392</v>
      </c>
      <c r="B268" s="4" t="s">
        <v>411</v>
      </c>
      <c r="C268" s="4">
        <v>2</v>
      </c>
      <c r="D268" s="4">
        <v>1252</v>
      </c>
      <c r="E268" s="4" t="s">
        <v>221</v>
      </c>
      <c r="F268" s="8" t="e">
        <v>#N/A</v>
      </c>
      <c r="G268" s="8" t="e">
        <v>#N/A</v>
      </c>
      <c r="H268" s="8" t="e">
        <v>#N/A</v>
      </c>
      <c r="I268" s="3" t="s">
        <v>628</v>
      </c>
      <c r="J268" s="2" t="s">
        <v>752</v>
      </c>
      <c r="K268" s="10">
        <f>ROUND(1410,2)</f>
        <v>1410</v>
      </c>
      <c r="L268" s="4">
        <v>400117</v>
      </c>
      <c r="M268" s="4">
        <v>11658</v>
      </c>
    </row>
    <row r="269" spans="1:13" ht="15.75" x14ac:dyDescent="0.2">
      <c r="A269" s="4" t="s">
        <v>392</v>
      </c>
      <c r="B269" s="4" t="s">
        <v>411</v>
      </c>
      <c r="C269" s="4">
        <v>3</v>
      </c>
      <c r="D269" s="4">
        <v>1252</v>
      </c>
      <c r="E269" s="4" t="s">
        <v>221</v>
      </c>
      <c r="F269" s="8" t="e">
        <v>#N/A</v>
      </c>
      <c r="G269" s="8" t="e">
        <v>#N/A</v>
      </c>
      <c r="H269" s="8" t="e">
        <v>#N/A</v>
      </c>
      <c r="I269" s="3" t="s">
        <v>628</v>
      </c>
      <c r="J269" s="2" t="s">
        <v>752</v>
      </c>
      <c r="K269" s="10">
        <f>ROUND(320,2)</f>
        <v>320</v>
      </c>
      <c r="L269" s="4">
        <v>400117</v>
      </c>
      <c r="M269" s="4">
        <v>11658</v>
      </c>
    </row>
    <row r="270" spans="1:13" ht="15.75" x14ac:dyDescent="0.2">
      <c r="A270" s="4" t="s">
        <v>392</v>
      </c>
      <c r="B270" s="4" t="s">
        <v>411</v>
      </c>
      <c r="C270" s="4">
        <v>4</v>
      </c>
      <c r="D270" s="4">
        <v>1252</v>
      </c>
      <c r="E270" s="4" t="s">
        <v>221</v>
      </c>
      <c r="F270" s="8" t="e">
        <v>#N/A</v>
      </c>
      <c r="G270" s="8" t="e">
        <v>#N/A</v>
      </c>
      <c r="H270" s="8" t="e">
        <v>#N/A</v>
      </c>
      <c r="I270" s="3" t="s">
        <v>628</v>
      </c>
      <c r="J270" s="2" t="s">
        <v>752</v>
      </c>
      <c r="K270" s="10">
        <f>ROUND(180,2)</f>
        <v>180</v>
      </c>
      <c r="L270" s="4">
        <v>400117</v>
      </c>
      <c r="M270" s="4">
        <v>11658</v>
      </c>
    </row>
    <row r="271" spans="1:13" ht="15.75" x14ac:dyDescent="0.2">
      <c r="A271" s="4" t="s">
        <v>392</v>
      </c>
      <c r="B271" s="4" t="s">
        <v>409</v>
      </c>
      <c r="C271" s="4">
        <v>1</v>
      </c>
      <c r="D271" s="4">
        <v>8696</v>
      </c>
      <c r="E271" s="4" t="s">
        <v>410</v>
      </c>
      <c r="F271" s="8">
        <v>210000</v>
      </c>
      <c r="G271" s="8" t="s">
        <v>669</v>
      </c>
      <c r="H271" s="8" t="s">
        <v>618</v>
      </c>
      <c r="I271" s="3" t="s">
        <v>628</v>
      </c>
      <c r="J271" s="2" t="s">
        <v>752</v>
      </c>
      <c r="K271" s="10">
        <f>ROUND(2985,2)</f>
        <v>2985</v>
      </c>
      <c r="L271" s="4">
        <v>400105</v>
      </c>
      <c r="M271" s="4">
        <v>11658</v>
      </c>
    </row>
    <row r="272" spans="1:13" ht="15.75" x14ac:dyDescent="0.2">
      <c r="A272" s="4" t="s">
        <v>392</v>
      </c>
      <c r="B272" s="4" t="s">
        <v>409</v>
      </c>
      <c r="C272" s="4">
        <v>2</v>
      </c>
      <c r="D272" s="4">
        <v>8696</v>
      </c>
      <c r="E272" s="4" t="s">
        <v>410</v>
      </c>
      <c r="F272" s="8">
        <v>210000</v>
      </c>
      <c r="G272" s="8" t="s">
        <v>669</v>
      </c>
      <c r="H272" s="8" t="s">
        <v>618</v>
      </c>
      <c r="I272" s="3" t="s">
        <v>628</v>
      </c>
      <c r="J272" s="2" t="s">
        <v>752</v>
      </c>
      <c r="K272" s="10">
        <f>ROUND(550,2)</f>
        <v>550</v>
      </c>
      <c r="L272" s="4">
        <v>400105</v>
      </c>
      <c r="M272" s="4">
        <v>11658</v>
      </c>
    </row>
    <row r="273" spans="1:13" ht="15.75" x14ac:dyDescent="0.2">
      <c r="A273" s="4" t="s">
        <v>392</v>
      </c>
      <c r="B273" s="4" t="s">
        <v>409</v>
      </c>
      <c r="C273" s="4">
        <v>3</v>
      </c>
      <c r="D273" s="4">
        <v>8696</v>
      </c>
      <c r="E273" s="4" t="s">
        <v>410</v>
      </c>
      <c r="F273" s="8">
        <v>210000</v>
      </c>
      <c r="G273" s="8" t="s">
        <v>669</v>
      </c>
      <c r="H273" s="8" t="s">
        <v>618</v>
      </c>
      <c r="I273" s="3" t="s">
        <v>628</v>
      </c>
      <c r="J273" s="2" t="s">
        <v>752</v>
      </c>
      <c r="K273" s="10">
        <f>ROUND(1650,2)</f>
        <v>1650</v>
      </c>
      <c r="L273" s="4">
        <v>400105</v>
      </c>
      <c r="M273" s="4">
        <v>11658</v>
      </c>
    </row>
    <row r="274" spans="1:13" ht="15.75" x14ac:dyDescent="0.2">
      <c r="A274" s="4" t="s">
        <v>392</v>
      </c>
      <c r="B274" s="4" t="s">
        <v>409</v>
      </c>
      <c r="C274" s="4">
        <v>4</v>
      </c>
      <c r="D274" s="4">
        <v>8696</v>
      </c>
      <c r="E274" s="4" t="s">
        <v>410</v>
      </c>
      <c r="F274" s="8">
        <v>210000</v>
      </c>
      <c r="G274" s="8" t="s">
        <v>669</v>
      </c>
      <c r="H274" s="8" t="s">
        <v>618</v>
      </c>
      <c r="I274" s="3" t="s">
        <v>628</v>
      </c>
      <c r="J274" s="2" t="s">
        <v>752</v>
      </c>
      <c r="K274" s="10">
        <f>ROUND(510.3,2)</f>
        <v>510.3</v>
      </c>
      <c r="L274" s="4">
        <v>400105</v>
      </c>
      <c r="M274" s="4">
        <v>11658</v>
      </c>
    </row>
    <row r="275" spans="1:13" ht="15.75" x14ac:dyDescent="0.25">
      <c r="A275" s="4" t="s">
        <v>392</v>
      </c>
      <c r="B275" s="4" t="s">
        <v>468</v>
      </c>
      <c r="C275" s="4">
        <v>1</v>
      </c>
      <c r="D275" s="4">
        <v>5214</v>
      </c>
      <c r="E275" s="4" t="s">
        <v>246</v>
      </c>
      <c r="F275" s="8">
        <v>150000</v>
      </c>
      <c r="G275" s="8" t="s">
        <v>632</v>
      </c>
      <c r="H275" s="8" t="s">
        <v>633</v>
      </c>
      <c r="I275" s="1" t="s">
        <v>659</v>
      </c>
      <c r="J275" s="2" t="e">
        <v>#N/A</v>
      </c>
      <c r="K275" s="10">
        <f>ROUND(16349,2)</f>
        <v>16349</v>
      </c>
      <c r="L275" s="4">
        <v>401007</v>
      </c>
      <c r="M275" s="4" t="s">
        <v>469</v>
      </c>
    </row>
    <row r="276" spans="1:13" ht="15.75" x14ac:dyDescent="0.2">
      <c r="A276" s="4" t="s">
        <v>392</v>
      </c>
      <c r="B276" s="4" t="s">
        <v>458</v>
      </c>
      <c r="C276" s="4">
        <v>1</v>
      </c>
      <c r="D276" s="4">
        <v>14262</v>
      </c>
      <c r="E276" s="4" t="s">
        <v>459</v>
      </c>
      <c r="F276" s="8">
        <v>320000</v>
      </c>
      <c r="G276" s="8" t="s">
        <v>646</v>
      </c>
      <c r="H276" s="8" t="s">
        <v>647</v>
      </c>
      <c r="I276" s="3" t="s">
        <v>628</v>
      </c>
      <c r="J276" s="2" t="s">
        <v>768</v>
      </c>
      <c r="K276" s="10">
        <f>ROUND(92030.57,2)</f>
        <v>92030.57</v>
      </c>
      <c r="L276" s="4">
        <v>530330</v>
      </c>
      <c r="M276" s="4">
        <v>11501</v>
      </c>
    </row>
    <row r="277" spans="1:13" ht="15.75" x14ac:dyDescent="0.25">
      <c r="A277" s="4" t="s">
        <v>392</v>
      </c>
      <c r="B277" s="4" t="s">
        <v>473</v>
      </c>
      <c r="C277" s="4">
        <v>1</v>
      </c>
      <c r="D277" s="4">
        <v>5214</v>
      </c>
      <c r="E277" s="4" t="s">
        <v>246</v>
      </c>
      <c r="F277" s="8">
        <v>390000</v>
      </c>
      <c r="G277" s="8" t="s">
        <v>664</v>
      </c>
      <c r="H277" s="8" t="s">
        <v>664</v>
      </c>
      <c r="I277" s="1" t="s">
        <v>659</v>
      </c>
      <c r="J277" s="2" t="e">
        <v>#N/A</v>
      </c>
      <c r="K277" s="10">
        <f>ROUND(6314.25,2)</f>
        <v>6314.25</v>
      </c>
      <c r="L277" s="4">
        <v>401600</v>
      </c>
      <c r="M277" s="4" t="s">
        <v>474</v>
      </c>
    </row>
    <row r="278" spans="1:13" ht="15.75" x14ac:dyDescent="0.25">
      <c r="A278" s="4" t="s">
        <v>392</v>
      </c>
      <c r="B278" s="4" t="s">
        <v>475</v>
      </c>
      <c r="C278" s="4">
        <v>1</v>
      </c>
      <c r="D278" s="4">
        <v>5214</v>
      </c>
      <c r="E278" s="4" t="s">
        <v>246</v>
      </c>
      <c r="F278" s="8">
        <v>390000</v>
      </c>
      <c r="G278" s="8" t="s">
        <v>664</v>
      </c>
      <c r="H278" s="8" t="s">
        <v>664</v>
      </c>
      <c r="I278" s="1" t="s">
        <v>659</v>
      </c>
      <c r="J278" s="2" t="e">
        <v>#N/A</v>
      </c>
      <c r="K278" s="10">
        <f>ROUND(6008.5,2)</f>
        <v>6008.5</v>
      </c>
      <c r="L278" s="4">
        <v>401600</v>
      </c>
      <c r="M278" s="4" t="s">
        <v>474</v>
      </c>
    </row>
    <row r="279" spans="1:13" ht="15.75" x14ac:dyDescent="0.2">
      <c r="A279" s="4" t="s">
        <v>392</v>
      </c>
      <c r="B279" s="4" t="s">
        <v>452</v>
      </c>
      <c r="C279" s="4">
        <v>1</v>
      </c>
      <c r="D279" s="4">
        <v>4625</v>
      </c>
      <c r="E279" s="4" t="s">
        <v>156</v>
      </c>
      <c r="F279" s="8">
        <v>290000</v>
      </c>
      <c r="G279" s="8" t="s">
        <v>636</v>
      </c>
      <c r="H279" s="8" t="s">
        <v>633</v>
      </c>
      <c r="I279" s="3" t="s">
        <v>619</v>
      </c>
      <c r="J279" s="2" t="s">
        <v>718</v>
      </c>
      <c r="K279" s="10">
        <f>ROUND(78740.88,2)</f>
        <v>78740.88</v>
      </c>
      <c r="L279" s="4">
        <v>401001</v>
      </c>
      <c r="M279" s="4">
        <v>13044</v>
      </c>
    </row>
    <row r="280" spans="1:13" ht="15.75" x14ac:dyDescent="0.25">
      <c r="A280" s="4" t="s">
        <v>402</v>
      </c>
      <c r="B280" s="4" t="s">
        <v>477</v>
      </c>
      <c r="C280" s="4">
        <v>1</v>
      </c>
      <c r="D280" s="4">
        <v>6748</v>
      </c>
      <c r="E280" s="4" t="s">
        <v>46</v>
      </c>
      <c r="F280" s="8">
        <v>391114</v>
      </c>
      <c r="G280" s="8" t="s">
        <v>678</v>
      </c>
      <c r="H280" s="8" t="s">
        <v>679</v>
      </c>
      <c r="I280" s="1" t="s">
        <v>659</v>
      </c>
      <c r="J280" s="2" t="e">
        <v>#N/A</v>
      </c>
      <c r="K280" s="10">
        <f>ROUND(11439.62,2)</f>
        <v>11439.62</v>
      </c>
      <c r="L280" s="4">
        <v>200316</v>
      </c>
      <c r="M280" s="4" t="s">
        <v>478</v>
      </c>
    </row>
    <row r="281" spans="1:13" ht="15.75" x14ac:dyDescent="0.25">
      <c r="A281" s="4" t="s">
        <v>402</v>
      </c>
      <c r="B281" s="4" t="s">
        <v>445</v>
      </c>
      <c r="C281" s="4">
        <v>1</v>
      </c>
      <c r="D281" s="4">
        <v>82</v>
      </c>
      <c r="E281" s="4" t="s">
        <v>237</v>
      </c>
      <c r="F281" s="8">
        <v>390000</v>
      </c>
      <c r="G281" s="8" t="s">
        <v>624</v>
      </c>
      <c r="H281" s="8" t="s">
        <v>625</v>
      </c>
      <c r="I281" s="1" t="s">
        <v>659</v>
      </c>
      <c r="J281" s="2" t="e">
        <v>#N/A</v>
      </c>
      <c r="K281" s="10">
        <f>ROUND(17021.28,2)</f>
        <v>17021.28</v>
      </c>
      <c r="L281" s="4">
        <v>200304</v>
      </c>
      <c r="M281" s="4" t="s">
        <v>238</v>
      </c>
    </row>
    <row r="282" spans="1:13" ht="15.75" x14ac:dyDescent="0.2">
      <c r="A282" s="4" t="s">
        <v>402</v>
      </c>
      <c r="B282" s="4" t="s">
        <v>401</v>
      </c>
      <c r="C282" s="4">
        <v>1</v>
      </c>
      <c r="D282" s="4">
        <v>16015</v>
      </c>
      <c r="E282" s="4" t="s">
        <v>403</v>
      </c>
      <c r="F282" s="8">
        <v>260000</v>
      </c>
      <c r="G282" s="8" t="s">
        <v>630</v>
      </c>
      <c r="H282" s="8" t="s">
        <v>631</v>
      </c>
      <c r="I282" s="3" t="s">
        <v>628</v>
      </c>
      <c r="J282" s="2" t="s">
        <v>676</v>
      </c>
      <c r="K282" s="10">
        <f>ROUND(6570,2)</f>
        <v>6570</v>
      </c>
      <c r="L282" s="4">
        <v>102020</v>
      </c>
      <c r="M282" s="4">
        <v>13000</v>
      </c>
    </row>
    <row r="283" spans="1:13" ht="15.75" x14ac:dyDescent="0.2">
      <c r="A283" s="4" t="s">
        <v>467</v>
      </c>
      <c r="B283" s="4" t="s">
        <v>482</v>
      </c>
      <c r="C283" s="4">
        <v>1</v>
      </c>
      <c r="D283" s="4">
        <v>4272</v>
      </c>
      <c r="E283" s="4" t="s">
        <v>379</v>
      </c>
      <c r="F283" s="8">
        <v>270000</v>
      </c>
      <c r="G283" s="8" t="s">
        <v>621</v>
      </c>
      <c r="H283" s="8" t="s">
        <v>622</v>
      </c>
      <c r="I283" s="3" t="s">
        <v>619</v>
      </c>
      <c r="J283" s="2" t="s">
        <v>778</v>
      </c>
      <c r="K283" s="10">
        <f>ROUND(20028,2)</f>
        <v>20028</v>
      </c>
      <c r="L283" s="4">
        <v>402001</v>
      </c>
      <c r="M283" s="4">
        <v>11102</v>
      </c>
    </row>
    <row r="284" spans="1:13" ht="15.75" x14ac:dyDescent="0.2">
      <c r="A284" s="4" t="s">
        <v>455</v>
      </c>
      <c r="B284" s="4" t="s">
        <v>481</v>
      </c>
      <c r="C284" s="4">
        <v>1</v>
      </c>
      <c r="D284" s="4">
        <v>15643</v>
      </c>
      <c r="E284" s="4" t="s">
        <v>60</v>
      </c>
      <c r="F284" s="8">
        <v>320000</v>
      </c>
      <c r="G284" s="8" t="s">
        <v>646</v>
      </c>
      <c r="H284" s="8" t="s">
        <v>647</v>
      </c>
      <c r="I284" s="3" t="s">
        <v>628</v>
      </c>
      <c r="J284" s="2" t="s">
        <v>661</v>
      </c>
      <c r="K284" s="10">
        <f>ROUND(12064,2)</f>
        <v>12064</v>
      </c>
      <c r="L284" s="4">
        <v>530335</v>
      </c>
      <c r="M284" s="4">
        <v>11513</v>
      </c>
    </row>
    <row r="285" spans="1:13" ht="15.75" x14ac:dyDescent="0.2">
      <c r="A285" s="4" t="s">
        <v>455</v>
      </c>
      <c r="B285" s="4" t="s">
        <v>480</v>
      </c>
      <c r="C285" s="4">
        <v>1</v>
      </c>
      <c r="D285" s="4">
        <v>15643</v>
      </c>
      <c r="E285" s="4" t="s">
        <v>60</v>
      </c>
      <c r="F285" s="8">
        <v>320000</v>
      </c>
      <c r="G285" s="8" t="s">
        <v>646</v>
      </c>
      <c r="H285" s="8" t="s">
        <v>647</v>
      </c>
      <c r="I285" s="3" t="s">
        <v>628</v>
      </c>
      <c r="J285" s="2" t="s">
        <v>661</v>
      </c>
      <c r="K285" s="10">
        <f>ROUND(6032,2)</f>
        <v>6032</v>
      </c>
      <c r="L285" s="4">
        <v>530335</v>
      </c>
      <c r="M285" s="4">
        <v>11513</v>
      </c>
    </row>
    <row r="286" spans="1:13" ht="15.75" x14ac:dyDescent="0.25">
      <c r="A286" s="4" t="s">
        <v>414</v>
      </c>
      <c r="B286" s="4" t="s">
        <v>472</v>
      </c>
      <c r="C286" s="4">
        <v>1</v>
      </c>
      <c r="D286" s="4">
        <v>5464</v>
      </c>
      <c r="E286" s="4" t="s">
        <v>205</v>
      </c>
      <c r="F286" s="8">
        <v>390000</v>
      </c>
      <c r="G286" s="8" t="s">
        <v>624</v>
      </c>
      <c r="H286" s="8" t="s">
        <v>625</v>
      </c>
      <c r="I286" s="1" t="s">
        <v>659</v>
      </c>
      <c r="J286" s="2" t="e">
        <v>#N/A</v>
      </c>
      <c r="K286" s="10">
        <f>ROUND(109365.16,2)</f>
        <v>109365.16</v>
      </c>
      <c r="L286" s="4">
        <v>200304</v>
      </c>
      <c r="M286" s="4" t="s">
        <v>371</v>
      </c>
    </row>
    <row r="287" spans="1:13" ht="15.75" x14ac:dyDescent="0.25">
      <c r="A287" s="4" t="s">
        <v>414</v>
      </c>
      <c r="B287" s="4" t="s">
        <v>487</v>
      </c>
      <c r="C287" s="4">
        <v>1</v>
      </c>
      <c r="D287" s="4">
        <v>14619</v>
      </c>
      <c r="E287" s="4" t="s">
        <v>488</v>
      </c>
      <c r="F287" s="8">
        <v>390000</v>
      </c>
      <c r="G287" s="8" t="s">
        <v>624</v>
      </c>
      <c r="H287" s="8" t="s">
        <v>658</v>
      </c>
      <c r="I287" s="1" t="s">
        <v>619</v>
      </c>
      <c r="J287" s="2" t="e">
        <v>#N/A</v>
      </c>
      <c r="K287" s="10">
        <f>ROUND(218966.94,2)</f>
        <v>218966.94</v>
      </c>
      <c r="L287" s="4">
        <v>200123</v>
      </c>
      <c r="M287" s="4" t="s">
        <v>212</v>
      </c>
    </row>
    <row r="288" spans="1:13" ht="15.75" x14ac:dyDescent="0.2">
      <c r="A288" s="4" t="s">
        <v>414</v>
      </c>
      <c r="B288" s="4" t="s">
        <v>479</v>
      </c>
      <c r="C288" s="4">
        <v>1</v>
      </c>
      <c r="D288" s="4">
        <v>13860</v>
      </c>
      <c r="E288" s="4" t="s">
        <v>63</v>
      </c>
      <c r="F288" s="8">
        <v>260000</v>
      </c>
      <c r="G288" s="8" t="s">
        <v>630</v>
      </c>
      <c r="H288" s="8" t="s">
        <v>662</v>
      </c>
      <c r="I288" s="3" t="s">
        <v>659</v>
      </c>
      <c r="J288" s="2" t="s">
        <v>663</v>
      </c>
      <c r="K288" s="10">
        <f>ROUND(5355,2)</f>
        <v>5355</v>
      </c>
      <c r="L288" s="4">
        <v>100304</v>
      </c>
      <c r="M288" s="4">
        <v>12328</v>
      </c>
    </row>
    <row r="289" spans="1:13" ht="15.75" x14ac:dyDescent="0.25">
      <c r="A289" s="4" t="s">
        <v>414</v>
      </c>
      <c r="B289" s="4" t="s">
        <v>476</v>
      </c>
      <c r="C289" s="4">
        <v>1</v>
      </c>
      <c r="D289" s="4">
        <v>3529</v>
      </c>
      <c r="E289" s="4" t="s">
        <v>2</v>
      </c>
      <c r="F289" s="8">
        <v>190000</v>
      </c>
      <c r="G289" s="8" t="s">
        <v>641</v>
      </c>
      <c r="H289" s="8" t="s">
        <v>642</v>
      </c>
      <c r="I289" s="1" t="s">
        <v>619</v>
      </c>
      <c r="J289" s="2" t="e">
        <v>#N/A</v>
      </c>
      <c r="K289" s="10">
        <f>ROUND(15000,2)</f>
        <v>15000</v>
      </c>
      <c r="L289" s="4">
        <v>400712</v>
      </c>
      <c r="M289" s="4" t="s">
        <v>438</v>
      </c>
    </row>
    <row r="290" spans="1:13" ht="15.75" x14ac:dyDescent="0.2">
      <c r="A290" s="4" t="s">
        <v>414</v>
      </c>
      <c r="B290" s="4" t="s">
        <v>492</v>
      </c>
      <c r="C290" s="4">
        <v>1</v>
      </c>
      <c r="D290" s="4">
        <v>1799</v>
      </c>
      <c r="E290" s="4" t="s">
        <v>195</v>
      </c>
      <c r="F290" s="8">
        <v>320000</v>
      </c>
      <c r="G290" s="8" t="s">
        <v>646</v>
      </c>
      <c r="H290" s="8" t="s">
        <v>688</v>
      </c>
      <c r="I290" s="3" t="s">
        <v>659</v>
      </c>
      <c r="J290" s="2" t="s">
        <v>779</v>
      </c>
      <c r="K290" s="10">
        <f>ROUND(800000,2)</f>
        <v>800000</v>
      </c>
      <c r="L290" s="4">
        <v>402403</v>
      </c>
      <c r="M290" s="4">
        <v>10963</v>
      </c>
    </row>
    <row r="291" spans="1:13" ht="15.75" x14ac:dyDescent="0.2">
      <c r="A291" s="4" t="s">
        <v>414</v>
      </c>
      <c r="B291" s="4" t="s">
        <v>495</v>
      </c>
      <c r="C291" s="4">
        <v>1</v>
      </c>
      <c r="D291" s="4">
        <v>8233</v>
      </c>
      <c r="E291" s="4" t="s">
        <v>160</v>
      </c>
      <c r="F291" s="8">
        <v>182020</v>
      </c>
      <c r="G291" s="8" t="s">
        <v>694</v>
      </c>
      <c r="H291" s="8" t="s">
        <v>695</v>
      </c>
      <c r="I291" s="3" t="s">
        <v>659</v>
      </c>
      <c r="J291" s="2" t="s">
        <v>780</v>
      </c>
      <c r="K291" s="10">
        <f>ROUND(14304,2)</f>
        <v>14304</v>
      </c>
      <c r="L291" s="4">
        <v>400401</v>
      </c>
      <c r="M291" s="4">
        <v>10864</v>
      </c>
    </row>
    <row r="292" spans="1:13" ht="15.75" x14ac:dyDescent="0.25">
      <c r="A292" s="4" t="s">
        <v>341</v>
      </c>
      <c r="B292" s="4" t="s">
        <v>498</v>
      </c>
      <c r="C292" s="4">
        <v>1</v>
      </c>
      <c r="D292" s="4">
        <v>6748</v>
      </c>
      <c r="E292" s="4" t="s">
        <v>46</v>
      </c>
      <c r="F292" s="8">
        <v>391114</v>
      </c>
      <c r="G292" s="8" t="s">
        <v>678</v>
      </c>
      <c r="H292" s="8" t="s">
        <v>679</v>
      </c>
      <c r="I292" s="1" t="s">
        <v>659</v>
      </c>
      <c r="J292" s="2" t="e">
        <v>#N/A</v>
      </c>
      <c r="K292" s="10">
        <f>ROUND(8635.07,2)</f>
        <v>8635.07</v>
      </c>
      <c r="L292" s="4">
        <v>200316</v>
      </c>
      <c r="M292" s="4" t="s">
        <v>496</v>
      </c>
    </row>
    <row r="293" spans="1:13" ht="15.75" x14ac:dyDescent="0.25">
      <c r="A293" s="4" t="s">
        <v>341</v>
      </c>
      <c r="B293" s="4" t="s">
        <v>502</v>
      </c>
      <c r="C293" s="4">
        <v>1</v>
      </c>
      <c r="D293" s="4">
        <v>14098</v>
      </c>
      <c r="E293" s="4" t="s">
        <v>503</v>
      </c>
      <c r="F293" s="8">
        <v>390000</v>
      </c>
      <c r="G293" s="8" t="s">
        <v>624</v>
      </c>
      <c r="H293" s="8" t="s">
        <v>658</v>
      </c>
      <c r="I293" s="1" t="s">
        <v>619</v>
      </c>
      <c r="J293" s="2" t="e">
        <v>#N/A</v>
      </c>
      <c r="K293" s="10">
        <f>ROUND(120240,2)</f>
        <v>120240</v>
      </c>
      <c r="L293" s="4">
        <v>200123</v>
      </c>
      <c r="M293" s="4" t="s">
        <v>212</v>
      </c>
    </row>
    <row r="294" spans="1:13" ht="15.75" x14ac:dyDescent="0.25">
      <c r="A294" s="4" t="s">
        <v>341</v>
      </c>
      <c r="B294" s="4" t="s">
        <v>340</v>
      </c>
      <c r="C294" s="4">
        <v>1</v>
      </c>
      <c r="D294" s="4">
        <v>1799</v>
      </c>
      <c r="E294" s="4" t="s">
        <v>195</v>
      </c>
      <c r="F294" s="8">
        <v>210000</v>
      </c>
      <c r="G294" s="8" t="s">
        <v>669</v>
      </c>
      <c r="H294" s="8" t="s">
        <v>618</v>
      </c>
      <c r="I294" s="1" t="s">
        <v>659</v>
      </c>
      <c r="J294" s="2" t="e">
        <v>#N/A</v>
      </c>
      <c r="K294" s="10">
        <f>ROUND(22960.5,2)</f>
        <v>22960.5</v>
      </c>
      <c r="L294" s="4">
        <v>400105</v>
      </c>
      <c r="M294" s="4" t="s">
        <v>11</v>
      </c>
    </row>
    <row r="295" spans="1:13" ht="15.75" x14ac:dyDescent="0.2">
      <c r="A295" s="4" t="s">
        <v>341</v>
      </c>
      <c r="B295" s="4" t="s">
        <v>501</v>
      </c>
      <c r="C295" s="4">
        <v>1</v>
      </c>
      <c r="D295" s="4">
        <v>13223</v>
      </c>
      <c r="E295" s="4" t="s">
        <v>105</v>
      </c>
      <c r="F295" s="8">
        <v>260000</v>
      </c>
      <c r="G295" s="8" t="s">
        <v>630</v>
      </c>
      <c r="H295" s="8" t="s">
        <v>662</v>
      </c>
      <c r="I295" s="3" t="s">
        <v>659</v>
      </c>
      <c r="J295" s="2" t="s">
        <v>663</v>
      </c>
      <c r="K295" s="10">
        <f>ROUND(8857,2)</f>
        <v>8857</v>
      </c>
      <c r="L295" s="4">
        <v>100304</v>
      </c>
      <c r="M295" s="4">
        <v>12328</v>
      </c>
    </row>
    <row r="296" spans="1:13" ht="15.75" x14ac:dyDescent="0.25">
      <c r="A296" s="4" t="s">
        <v>451</v>
      </c>
      <c r="B296" s="4" t="s">
        <v>493</v>
      </c>
      <c r="C296" s="4">
        <v>1</v>
      </c>
      <c r="D296" s="4">
        <v>1799</v>
      </c>
      <c r="E296" s="4" t="s">
        <v>195</v>
      </c>
      <c r="F296" s="8">
        <v>390000</v>
      </c>
      <c r="G296" s="8" t="s">
        <v>664</v>
      </c>
      <c r="H296" s="8" t="s">
        <v>664</v>
      </c>
      <c r="I296" s="1" t="s">
        <v>659</v>
      </c>
      <c r="J296" s="2" t="e">
        <v>#N/A</v>
      </c>
      <c r="K296" s="10">
        <f>ROUND(643159.94,2)</f>
        <v>643159.93999999994</v>
      </c>
      <c r="L296" s="4">
        <v>401600</v>
      </c>
      <c r="M296" s="4" t="s">
        <v>494</v>
      </c>
    </row>
    <row r="297" spans="1:13" ht="15.75" x14ac:dyDescent="0.25">
      <c r="A297" s="4" t="s">
        <v>451</v>
      </c>
      <c r="B297" s="4" t="s">
        <v>462</v>
      </c>
      <c r="C297" s="4">
        <v>1</v>
      </c>
      <c r="D297" s="4">
        <v>865</v>
      </c>
      <c r="E297" s="4" t="s">
        <v>83</v>
      </c>
      <c r="F297" s="8">
        <v>390000</v>
      </c>
      <c r="G297" s="8" t="s">
        <v>664</v>
      </c>
      <c r="H297" s="8" t="s">
        <v>664</v>
      </c>
      <c r="I297" s="1" t="s">
        <v>659</v>
      </c>
      <c r="J297" s="2" t="e">
        <v>#N/A</v>
      </c>
      <c r="K297" s="10">
        <f>ROUND(653439.64,2)</f>
        <v>653439.64</v>
      </c>
      <c r="L297" s="4">
        <v>401600</v>
      </c>
      <c r="M297" s="4" t="s">
        <v>463</v>
      </c>
    </row>
    <row r="298" spans="1:13" ht="15.75" x14ac:dyDescent="0.25">
      <c r="A298" s="4" t="s">
        <v>451</v>
      </c>
      <c r="B298" s="4" t="s">
        <v>505</v>
      </c>
      <c r="C298" s="4">
        <v>1</v>
      </c>
      <c r="D298" s="4">
        <v>14098</v>
      </c>
      <c r="E298" s="4" t="s">
        <v>503</v>
      </c>
      <c r="F298" s="8">
        <v>150000</v>
      </c>
      <c r="G298" s="8" t="s">
        <v>632</v>
      </c>
      <c r="H298" s="8" t="s">
        <v>633</v>
      </c>
      <c r="I298" s="1" t="s">
        <v>619</v>
      </c>
      <c r="J298" s="2" t="e">
        <v>#N/A</v>
      </c>
      <c r="K298" s="10">
        <f>ROUND(29025,2)</f>
        <v>29025</v>
      </c>
      <c r="L298" s="4">
        <v>401007</v>
      </c>
      <c r="M298" s="4" t="s">
        <v>224</v>
      </c>
    </row>
    <row r="299" spans="1:13" ht="15.75" x14ac:dyDescent="0.25">
      <c r="A299" s="4" t="s">
        <v>451</v>
      </c>
      <c r="B299" s="4" t="s">
        <v>506</v>
      </c>
      <c r="C299" s="4">
        <v>1</v>
      </c>
      <c r="D299" s="4">
        <v>17014</v>
      </c>
      <c r="E299" s="4" t="s">
        <v>507</v>
      </c>
      <c r="F299" s="8">
        <v>150000</v>
      </c>
      <c r="G299" s="8" t="s">
        <v>632</v>
      </c>
      <c r="H299" s="8" t="s">
        <v>633</v>
      </c>
      <c r="I299" s="1" t="s">
        <v>659</v>
      </c>
      <c r="J299" s="2" t="e">
        <v>#N/A</v>
      </c>
      <c r="K299" s="10">
        <f>ROUND(57395,2)</f>
        <v>57395</v>
      </c>
      <c r="L299" s="4">
        <v>401007</v>
      </c>
      <c r="M299" s="4" t="s">
        <v>297</v>
      </c>
    </row>
    <row r="300" spans="1:13" ht="15.75" x14ac:dyDescent="0.2">
      <c r="A300" s="4" t="s">
        <v>451</v>
      </c>
      <c r="B300" s="4" t="s">
        <v>515</v>
      </c>
      <c r="C300" s="4">
        <v>1</v>
      </c>
      <c r="D300" s="4">
        <v>1799</v>
      </c>
      <c r="E300" s="4" t="s">
        <v>195</v>
      </c>
      <c r="F300" s="8">
        <v>150000</v>
      </c>
      <c r="G300" s="8" t="s">
        <v>632</v>
      </c>
      <c r="H300" s="8" t="s">
        <v>633</v>
      </c>
      <c r="I300" s="3" t="s">
        <v>619</v>
      </c>
      <c r="J300" s="2" t="s">
        <v>656</v>
      </c>
      <c r="K300" s="10">
        <f>ROUND(9000,2)</f>
        <v>9000</v>
      </c>
      <c r="L300" s="4">
        <v>401020</v>
      </c>
      <c r="M300" s="4">
        <v>13263</v>
      </c>
    </row>
    <row r="301" spans="1:13" ht="15.75" x14ac:dyDescent="0.2">
      <c r="A301" s="4" t="s">
        <v>451</v>
      </c>
      <c r="B301" s="4" t="s">
        <v>511</v>
      </c>
      <c r="C301" s="4">
        <v>1</v>
      </c>
      <c r="D301" s="4">
        <v>12304</v>
      </c>
      <c r="E301" s="4" t="s">
        <v>512</v>
      </c>
      <c r="F301" s="8">
        <v>290000</v>
      </c>
      <c r="G301" s="8" t="s">
        <v>636</v>
      </c>
      <c r="H301" s="8" t="s">
        <v>637</v>
      </c>
      <c r="I301" s="3" t="s">
        <v>619</v>
      </c>
      <c r="J301" s="2" t="s">
        <v>781</v>
      </c>
      <c r="K301" s="10">
        <f>ROUND(6840,2)</f>
        <v>6840</v>
      </c>
      <c r="L301" s="4">
        <v>401801</v>
      </c>
      <c r="M301" s="4">
        <v>11375</v>
      </c>
    </row>
    <row r="302" spans="1:13" ht="15.75" x14ac:dyDescent="0.25">
      <c r="A302" s="4" t="s">
        <v>470</v>
      </c>
      <c r="B302" s="4" t="s">
        <v>516</v>
      </c>
      <c r="C302" s="4">
        <v>1</v>
      </c>
      <c r="D302" s="4">
        <v>15082</v>
      </c>
      <c r="E302" s="4" t="s">
        <v>329</v>
      </c>
      <c r="F302" s="8">
        <v>181800</v>
      </c>
      <c r="G302" s="8" t="s">
        <v>617</v>
      </c>
      <c r="H302" s="8" t="s">
        <v>618</v>
      </c>
      <c r="I302" s="1" t="s">
        <v>619</v>
      </c>
      <c r="J302" s="2" t="e">
        <v>#N/A</v>
      </c>
      <c r="K302" s="10">
        <f>ROUND(49685.06,2)</f>
        <v>49685.06</v>
      </c>
      <c r="L302" s="4">
        <v>400106</v>
      </c>
      <c r="M302" s="4" t="s">
        <v>517</v>
      </c>
    </row>
    <row r="303" spans="1:13" ht="15.75" x14ac:dyDescent="0.2">
      <c r="A303" s="4" t="s">
        <v>470</v>
      </c>
      <c r="B303" s="4" t="s">
        <v>518</v>
      </c>
      <c r="C303" s="4">
        <v>1</v>
      </c>
      <c r="D303" s="4">
        <v>16929</v>
      </c>
      <c r="E303" s="4" t="s">
        <v>519</v>
      </c>
      <c r="F303" s="8">
        <v>390000</v>
      </c>
      <c r="G303" s="8" t="s">
        <v>624</v>
      </c>
      <c r="H303" s="8" t="s">
        <v>658</v>
      </c>
      <c r="I303" s="3" t="s">
        <v>659</v>
      </c>
      <c r="J303" s="2" t="s">
        <v>738</v>
      </c>
      <c r="K303" s="10">
        <f>ROUND(17200,2)</f>
        <v>17200</v>
      </c>
      <c r="L303" s="4">
        <v>200123</v>
      </c>
      <c r="M303" s="4">
        <v>12510</v>
      </c>
    </row>
    <row r="304" spans="1:13" ht="15.75" x14ac:dyDescent="0.2">
      <c r="A304" s="4" t="s">
        <v>470</v>
      </c>
      <c r="B304" s="4" t="s">
        <v>520</v>
      </c>
      <c r="C304" s="4">
        <v>1</v>
      </c>
      <c r="D304" s="4">
        <v>15975</v>
      </c>
      <c r="E304" s="4" t="s">
        <v>305</v>
      </c>
      <c r="F304" s="8">
        <v>261400</v>
      </c>
      <c r="G304" s="8" t="s">
        <v>736</v>
      </c>
      <c r="H304" s="8" t="s">
        <v>737</v>
      </c>
      <c r="I304" s="3" t="s">
        <v>619</v>
      </c>
      <c r="J304" s="2" t="s">
        <v>782</v>
      </c>
      <c r="K304" s="10">
        <f>ROUND(30000,2)</f>
        <v>30000</v>
      </c>
      <c r="L304" s="4">
        <v>100290</v>
      </c>
      <c r="M304" s="4">
        <v>11117</v>
      </c>
    </row>
    <row r="305" spans="1:13" ht="15.75" x14ac:dyDescent="0.2">
      <c r="A305" s="4" t="s">
        <v>470</v>
      </c>
      <c r="B305" s="4" t="s">
        <v>522</v>
      </c>
      <c r="C305" s="4">
        <v>1</v>
      </c>
      <c r="D305" s="4">
        <v>15271</v>
      </c>
      <c r="E305" s="4" t="s">
        <v>523</v>
      </c>
      <c r="F305" s="8">
        <v>999999</v>
      </c>
      <c r="G305" s="8" t="s">
        <v>627</v>
      </c>
      <c r="H305" s="8" t="s">
        <v>627</v>
      </c>
      <c r="I305" s="3" t="s">
        <v>628</v>
      </c>
      <c r="J305" s="2" t="s">
        <v>783</v>
      </c>
      <c r="K305" s="10">
        <f>ROUND(25000,2)</f>
        <v>25000</v>
      </c>
      <c r="L305" s="4">
        <v>402404</v>
      </c>
      <c r="M305" s="4">
        <v>13065</v>
      </c>
    </row>
    <row r="306" spans="1:13" ht="15.75" x14ac:dyDescent="0.2">
      <c r="A306" s="4" t="s">
        <v>470</v>
      </c>
      <c r="B306" s="4" t="s">
        <v>527</v>
      </c>
      <c r="C306" s="4">
        <v>1</v>
      </c>
      <c r="D306" s="4">
        <v>4611</v>
      </c>
      <c r="E306" s="4" t="s">
        <v>528</v>
      </c>
      <c r="F306" s="8">
        <v>320000</v>
      </c>
      <c r="G306" s="8" t="s">
        <v>646</v>
      </c>
      <c r="H306" s="8" t="s">
        <v>647</v>
      </c>
      <c r="I306" s="3" t="s">
        <v>628</v>
      </c>
      <c r="J306" s="2" t="s">
        <v>784</v>
      </c>
      <c r="K306" s="10">
        <f>ROUND(21684,2)</f>
        <v>21684</v>
      </c>
      <c r="L306" s="4">
        <v>530360</v>
      </c>
      <c r="M306" s="4">
        <v>13145</v>
      </c>
    </row>
    <row r="307" spans="1:13" ht="15.75" x14ac:dyDescent="0.2">
      <c r="A307" s="4" t="s">
        <v>464</v>
      </c>
      <c r="B307" s="4" t="s">
        <v>524</v>
      </c>
      <c r="C307" s="4">
        <v>1</v>
      </c>
      <c r="D307" s="4">
        <v>16784</v>
      </c>
      <c r="E307" s="4" t="s">
        <v>364</v>
      </c>
      <c r="F307" s="8">
        <v>220000</v>
      </c>
      <c r="G307" s="8" t="s">
        <v>717</v>
      </c>
      <c r="H307" s="8" t="s">
        <v>627</v>
      </c>
      <c r="I307" s="3" t="s">
        <v>628</v>
      </c>
      <c r="J307" s="2" t="s">
        <v>785</v>
      </c>
      <c r="K307" s="10">
        <f>ROUND(16500,2)</f>
        <v>16500</v>
      </c>
      <c r="L307" s="4">
        <v>401000</v>
      </c>
      <c r="M307" s="4">
        <v>12231</v>
      </c>
    </row>
    <row r="308" spans="1:13" ht="15.75" x14ac:dyDescent="0.25">
      <c r="A308" s="4" t="s">
        <v>464</v>
      </c>
      <c r="B308" s="4" t="s">
        <v>529</v>
      </c>
      <c r="C308" s="4">
        <v>1</v>
      </c>
      <c r="D308" s="4">
        <v>15082</v>
      </c>
      <c r="E308" s="4" t="s">
        <v>329</v>
      </c>
      <c r="F308" s="8">
        <v>181800</v>
      </c>
      <c r="G308" s="8" t="s">
        <v>617</v>
      </c>
      <c r="H308" s="8" t="s">
        <v>618</v>
      </c>
      <c r="I308" s="1" t="s">
        <v>619</v>
      </c>
      <c r="J308" s="2" t="e">
        <v>#N/A</v>
      </c>
      <c r="K308" s="10">
        <f>ROUND(5032.36,2)</f>
        <v>5032.3599999999997</v>
      </c>
      <c r="L308" s="4">
        <v>400106</v>
      </c>
      <c r="M308" s="4" t="s">
        <v>517</v>
      </c>
    </row>
    <row r="309" spans="1:13" ht="15.75" x14ac:dyDescent="0.25">
      <c r="A309" s="4" t="s">
        <v>442</v>
      </c>
      <c r="B309" s="4" t="s">
        <v>536</v>
      </c>
      <c r="C309" s="4">
        <v>1</v>
      </c>
      <c r="D309" s="4">
        <v>6967</v>
      </c>
      <c r="E309" s="4" t="s">
        <v>78</v>
      </c>
      <c r="F309" s="8">
        <v>150000</v>
      </c>
      <c r="G309" s="8" t="s">
        <v>632</v>
      </c>
      <c r="H309" s="8" t="s">
        <v>633</v>
      </c>
      <c r="I309" s="1" t="s">
        <v>659</v>
      </c>
      <c r="J309" s="2" t="e">
        <v>#N/A</v>
      </c>
      <c r="K309" s="10">
        <f>ROUND(9929.55,2)</f>
        <v>9929.5499999999993</v>
      </c>
      <c r="L309" s="4">
        <v>401007</v>
      </c>
      <c r="M309" s="4" t="s">
        <v>537</v>
      </c>
    </row>
    <row r="310" spans="1:13" ht="15.75" x14ac:dyDescent="0.25">
      <c r="A310" s="4" t="s">
        <v>442</v>
      </c>
      <c r="B310" s="4" t="s">
        <v>538</v>
      </c>
      <c r="C310" s="4">
        <v>1</v>
      </c>
      <c r="D310" s="4">
        <v>15797</v>
      </c>
      <c r="E310" s="4" t="s">
        <v>539</v>
      </c>
      <c r="F310" s="8">
        <v>270000</v>
      </c>
      <c r="G310" s="8" t="s">
        <v>621</v>
      </c>
      <c r="H310" s="8" t="s">
        <v>622</v>
      </c>
      <c r="I310" s="1" t="s">
        <v>619</v>
      </c>
      <c r="J310" s="2" t="e">
        <v>#N/A</v>
      </c>
      <c r="K310" s="10">
        <f>ROUND(5599.14,2)</f>
        <v>5599.14</v>
      </c>
      <c r="L310" s="4">
        <v>402002</v>
      </c>
      <c r="M310" s="4" t="s">
        <v>352</v>
      </c>
    </row>
    <row r="311" spans="1:13" ht="15.75" x14ac:dyDescent="0.25">
      <c r="A311" s="4" t="s">
        <v>442</v>
      </c>
      <c r="B311" s="4" t="s">
        <v>546</v>
      </c>
      <c r="C311" s="4">
        <v>1</v>
      </c>
      <c r="D311" s="4">
        <v>15082</v>
      </c>
      <c r="E311" s="4" t="s">
        <v>329</v>
      </c>
      <c r="F311" s="8">
        <v>390000</v>
      </c>
      <c r="G311" s="8" t="s">
        <v>624</v>
      </c>
      <c r="H311" s="8" t="s">
        <v>658</v>
      </c>
      <c r="I311" s="1" t="s">
        <v>619</v>
      </c>
      <c r="J311" s="2" t="e">
        <v>#N/A</v>
      </c>
      <c r="K311" s="10">
        <f>ROUND(54717,2)</f>
        <v>54717</v>
      </c>
      <c r="L311" s="4">
        <v>200123</v>
      </c>
      <c r="M311" s="4" t="s">
        <v>547</v>
      </c>
    </row>
    <row r="312" spans="1:13" ht="15.75" x14ac:dyDescent="0.2">
      <c r="A312" s="4" t="s">
        <v>442</v>
      </c>
      <c r="B312" s="4" t="s">
        <v>555</v>
      </c>
      <c r="C312" s="4">
        <v>1</v>
      </c>
      <c r="D312" s="4">
        <v>6170</v>
      </c>
      <c r="E312" s="4" t="s">
        <v>47</v>
      </c>
      <c r="F312" s="8">
        <v>240000</v>
      </c>
      <c r="G312" s="8" t="s">
        <v>681</v>
      </c>
      <c r="H312" s="8" t="s">
        <v>682</v>
      </c>
      <c r="I312" s="3" t="s">
        <v>659</v>
      </c>
      <c r="J312" s="2" t="s">
        <v>786</v>
      </c>
      <c r="K312" s="10">
        <f>ROUND(18750,2)</f>
        <v>18750</v>
      </c>
      <c r="L312" s="4">
        <v>202000</v>
      </c>
      <c r="M312" s="4">
        <v>11277</v>
      </c>
    </row>
    <row r="313" spans="1:13" ht="15.75" x14ac:dyDescent="0.2">
      <c r="A313" s="4" t="s">
        <v>442</v>
      </c>
      <c r="B313" s="4" t="s">
        <v>556</v>
      </c>
      <c r="C313" s="4">
        <v>1</v>
      </c>
      <c r="D313" s="4">
        <v>15643</v>
      </c>
      <c r="E313" s="4" t="s">
        <v>60</v>
      </c>
      <c r="F313" s="8">
        <v>320000</v>
      </c>
      <c r="G313" s="8" t="s">
        <v>646</v>
      </c>
      <c r="H313" s="8" t="s">
        <v>647</v>
      </c>
      <c r="I313" s="3" t="s">
        <v>628</v>
      </c>
      <c r="J313" s="2" t="s">
        <v>661</v>
      </c>
      <c r="K313" s="10">
        <f>ROUND(6864,2)</f>
        <v>6864</v>
      </c>
      <c r="L313" s="4">
        <v>530358</v>
      </c>
      <c r="M313" s="4">
        <v>11513</v>
      </c>
    </row>
    <row r="314" spans="1:13" ht="15.75" x14ac:dyDescent="0.2">
      <c r="A314" s="4" t="s">
        <v>442</v>
      </c>
      <c r="B314" s="4" t="s">
        <v>551</v>
      </c>
      <c r="C314" s="4">
        <v>1</v>
      </c>
      <c r="D314" s="4">
        <v>12687</v>
      </c>
      <c r="E314" s="4" t="s">
        <v>552</v>
      </c>
      <c r="F314" s="8">
        <v>210000</v>
      </c>
      <c r="G314" s="8" t="s">
        <v>669</v>
      </c>
      <c r="H314" s="8" t="s">
        <v>618</v>
      </c>
      <c r="I314" s="3" t="s">
        <v>659</v>
      </c>
      <c r="J314" s="2" t="s">
        <v>787</v>
      </c>
      <c r="K314" s="10">
        <f>ROUND(10000,2)</f>
        <v>10000</v>
      </c>
      <c r="L314" s="4">
        <v>400115</v>
      </c>
      <c r="M314" s="4">
        <v>10511</v>
      </c>
    </row>
    <row r="315" spans="1:13" ht="15.75" x14ac:dyDescent="0.2">
      <c r="A315" s="4" t="s">
        <v>442</v>
      </c>
      <c r="B315" s="4" t="s">
        <v>548</v>
      </c>
      <c r="C315" s="4">
        <v>1</v>
      </c>
      <c r="D315" s="4">
        <v>17010</v>
      </c>
      <c r="E315" s="4" t="s">
        <v>549</v>
      </c>
      <c r="F315" s="8">
        <v>150000</v>
      </c>
      <c r="G315" s="8" t="s">
        <v>632</v>
      </c>
      <c r="H315" s="8" t="s">
        <v>633</v>
      </c>
      <c r="I315" s="3" t="s">
        <v>628</v>
      </c>
      <c r="J315" s="2" t="s">
        <v>735</v>
      </c>
      <c r="K315" s="10">
        <f>ROUND(25000,2)</f>
        <v>25000</v>
      </c>
      <c r="L315" s="4">
        <v>401007</v>
      </c>
      <c r="M315" s="4">
        <v>10751</v>
      </c>
    </row>
    <row r="316" spans="1:13" ht="15.75" x14ac:dyDescent="0.2">
      <c r="A316" s="4" t="s">
        <v>442</v>
      </c>
      <c r="B316" s="4" t="s">
        <v>561</v>
      </c>
      <c r="C316" s="4">
        <v>1</v>
      </c>
      <c r="D316" s="4">
        <v>17019</v>
      </c>
      <c r="E316" s="4" t="s">
        <v>562</v>
      </c>
      <c r="F316" s="8">
        <v>150000</v>
      </c>
      <c r="G316" s="8" t="s">
        <v>632</v>
      </c>
      <c r="H316" s="8" t="s">
        <v>633</v>
      </c>
      <c r="I316" s="3" t="s">
        <v>628</v>
      </c>
      <c r="J316" s="2" t="s">
        <v>735</v>
      </c>
      <c r="K316" s="10">
        <f>ROUND(20000,2)</f>
        <v>20000</v>
      </c>
      <c r="L316" s="4">
        <v>401007</v>
      </c>
      <c r="M316" s="4">
        <v>10751</v>
      </c>
    </row>
    <row r="317" spans="1:13" ht="15.75" x14ac:dyDescent="0.25">
      <c r="A317" s="4" t="s">
        <v>442</v>
      </c>
      <c r="B317" s="4" t="s">
        <v>545</v>
      </c>
      <c r="C317" s="4">
        <v>1</v>
      </c>
      <c r="D317" s="4">
        <v>12902</v>
      </c>
      <c r="E317" s="4" t="s">
        <v>124</v>
      </c>
      <c r="F317" s="8">
        <v>390000</v>
      </c>
      <c r="G317" s="8" t="s">
        <v>624</v>
      </c>
      <c r="H317" s="8" t="s">
        <v>658</v>
      </c>
      <c r="I317" s="1" t="s">
        <v>628</v>
      </c>
      <c r="J317" s="2" t="e">
        <v>#N/A</v>
      </c>
      <c r="K317" s="10">
        <f>ROUND(8950,2)</f>
        <v>8950</v>
      </c>
      <c r="L317" s="4">
        <v>200123</v>
      </c>
      <c r="M317" s="4" t="s">
        <v>198</v>
      </c>
    </row>
    <row r="318" spans="1:13" ht="15.75" x14ac:dyDescent="0.2">
      <c r="A318" s="4" t="s">
        <v>442</v>
      </c>
      <c r="B318" s="4" t="s">
        <v>532</v>
      </c>
      <c r="C318" s="4">
        <v>1</v>
      </c>
      <c r="D318" s="4">
        <v>2306</v>
      </c>
      <c r="E318" s="4" t="s">
        <v>533</v>
      </c>
      <c r="F318" s="8">
        <v>150000</v>
      </c>
      <c r="G318" s="8" t="s">
        <v>632</v>
      </c>
      <c r="H318" s="8" t="s">
        <v>633</v>
      </c>
      <c r="I318" s="3" t="s">
        <v>659</v>
      </c>
      <c r="J318" s="2" t="s">
        <v>707</v>
      </c>
      <c r="K318" s="10">
        <f>ROUND(100000,2)</f>
        <v>100000</v>
      </c>
      <c r="L318" s="4">
        <v>401007</v>
      </c>
      <c r="M318" s="4">
        <v>10072</v>
      </c>
    </row>
    <row r="319" spans="1:13" ht="15.75" x14ac:dyDescent="0.25">
      <c r="A319" s="4" t="s">
        <v>471</v>
      </c>
      <c r="B319" s="4" t="s">
        <v>526</v>
      </c>
      <c r="C319" s="4">
        <v>1</v>
      </c>
      <c r="D319" s="4">
        <v>1353</v>
      </c>
      <c r="E319" s="4" t="s">
        <v>29</v>
      </c>
      <c r="F319" s="8">
        <v>390000</v>
      </c>
      <c r="G319" s="8" t="s">
        <v>664</v>
      </c>
      <c r="H319" s="8" t="s">
        <v>664</v>
      </c>
      <c r="I319" s="1" t="s">
        <v>659</v>
      </c>
      <c r="J319" s="2" t="e">
        <v>#N/A</v>
      </c>
      <c r="K319" s="10">
        <f>ROUND(9900,2)</f>
        <v>9900</v>
      </c>
      <c r="L319" s="4">
        <v>401600</v>
      </c>
      <c r="M319" s="4" t="s">
        <v>30</v>
      </c>
    </row>
    <row r="320" spans="1:13" ht="15.75" x14ac:dyDescent="0.2">
      <c r="A320" s="4" t="s">
        <v>471</v>
      </c>
      <c r="B320" s="4" t="s">
        <v>553</v>
      </c>
      <c r="C320" s="4">
        <v>1</v>
      </c>
      <c r="D320" s="4">
        <v>6967</v>
      </c>
      <c r="E320" s="4" t="s">
        <v>78</v>
      </c>
      <c r="F320" s="8">
        <v>150000</v>
      </c>
      <c r="G320" s="8" t="s">
        <v>632</v>
      </c>
      <c r="H320" s="8" t="s">
        <v>633</v>
      </c>
      <c r="I320" s="3" t="s">
        <v>659</v>
      </c>
      <c r="J320" s="2" t="s">
        <v>788</v>
      </c>
      <c r="K320" s="10">
        <f>ROUND(82114.56,2)</f>
        <v>82114.559999999998</v>
      </c>
      <c r="L320" s="4">
        <v>401020</v>
      </c>
      <c r="M320" s="4">
        <v>13107</v>
      </c>
    </row>
    <row r="321" spans="1:13" ht="15.75" x14ac:dyDescent="0.2">
      <c r="A321" s="4" t="s">
        <v>471</v>
      </c>
      <c r="B321" s="4" t="s">
        <v>550</v>
      </c>
      <c r="C321" s="4">
        <v>1</v>
      </c>
      <c r="D321" s="4">
        <v>3529</v>
      </c>
      <c r="E321" s="4" t="s">
        <v>2</v>
      </c>
      <c r="F321" s="8">
        <v>390000</v>
      </c>
      <c r="G321" s="8" t="s">
        <v>624</v>
      </c>
      <c r="H321" s="8" t="s">
        <v>658</v>
      </c>
      <c r="I321" s="3" t="s">
        <v>659</v>
      </c>
      <c r="J321" s="2" t="s">
        <v>789</v>
      </c>
      <c r="K321" s="10">
        <f>ROUND(5023.5,2)</f>
        <v>5023.5</v>
      </c>
      <c r="L321" s="4">
        <v>200123</v>
      </c>
      <c r="M321" s="4">
        <v>11996</v>
      </c>
    </row>
    <row r="322" spans="1:13" ht="15.75" x14ac:dyDescent="0.2">
      <c r="A322" s="4" t="s">
        <v>491</v>
      </c>
      <c r="B322" s="4" t="s">
        <v>497</v>
      </c>
      <c r="C322" s="4">
        <v>1</v>
      </c>
      <c r="D322" s="4">
        <v>1342</v>
      </c>
      <c r="E322" s="4" t="s">
        <v>162</v>
      </c>
      <c r="F322" s="8">
        <v>182020</v>
      </c>
      <c r="G322" s="8" t="s">
        <v>694</v>
      </c>
      <c r="H322" s="8" t="s">
        <v>695</v>
      </c>
      <c r="I322" s="3" t="s">
        <v>659</v>
      </c>
      <c r="J322" s="2" t="s">
        <v>696</v>
      </c>
      <c r="K322" s="10">
        <f>ROUND(621.3,2)</f>
        <v>621.29999999999995</v>
      </c>
      <c r="L322" s="4">
        <v>400401</v>
      </c>
      <c r="M322" s="4">
        <v>10883</v>
      </c>
    </row>
    <row r="323" spans="1:13" ht="15.75" x14ac:dyDescent="0.2">
      <c r="A323" s="4" t="s">
        <v>491</v>
      </c>
      <c r="B323" s="4" t="s">
        <v>497</v>
      </c>
      <c r="C323" s="4">
        <v>2</v>
      </c>
      <c r="D323" s="4">
        <v>1342</v>
      </c>
      <c r="E323" s="4" t="s">
        <v>162</v>
      </c>
      <c r="F323" s="8">
        <v>182020</v>
      </c>
      <c r="G323" s="8" t="s">
        <v>694</v>
      </c>
      <c r="H323" s="8" t="s">
        <v>695</v>
      </c>
      <c r="I323" s="3" t="s">
        <v>659</v>
      </c>
      <c r="J323" s="2" t="s">
        <v>696</v>
      </c>
      <c r="K323" s="10">
        <f>ROUND(197.1,2)</f>
        <v>197.1</v>
      </c>
      <c r="L323" s="4">
        <v>400401</v>
      </c>
      <c r="M323" s="4">
        <v>10883</v>
      </c>
    </row>
    <row r="324" spans="1:13" ht="15.75" x14ac:dyDescent="0.2">
      <c r="A324" s="4" t="s">
        <v>491</v>
      </c>
      <c r="B324" s="4" t="s">
        <v>497</v>
      </c>
      <c r="C324" s="4">
        <v>3</v>
      </c>
      <c r="D324" s="4">
        <v>1342</v>
      </c>
      <c r="E324" s="4" t="s">
        <v>162</v>
      </c>
      <c r="F324" s="8">
        <v>182020</v>
      </c>
      <c r="G324" s="8" t="s">
        <v>694</v>
      </c>
      <c r="H324" s="8" t="s">
        <v>695</v>
      </c>
      <c r="I324" s="3" t="s">
        <v>659</v>
      </c>
      <c r="J324" s="2" t="s">
        <v>696</v>
      </c>
      <c r="K324" s="10">
        <f>ROUND(2975,2)</f>
        <v>2975</v>
      </c>
      <c r="L324" s="4">
        <v>400401</v>
      </c>
      <c r="M324" s="4">
        <v>10883</v>
      </c>
    </row>
    <row r="325" spans="1:13" ht="15.75" x14ac:dyDescent="0.2">
      <c r="A325" s="4" t="s">
        <v>491</v>
      </c>
      <c r="B325" s="4" t="s">
        <v>497</v>
      </c>
      <c r="C325" s="4">
        <v>4</v>
      </c>
      <c r="D325" s="4">
        <v>1342</v>
      </c>
      <c r="E325" s="4" t="s">
        <v>162</v>
      </c>
      <c r="F325" s="8">
        <v>182020</v>
      </c>
      <c r="G325" s="8" t="s">
        <v>694</v>
      </c>
      <c r="H325" s="8" t="s">
        <v>695</v>
      </c>
      <c r="I325" s="3" t="s">
        <v>659</v>
      </c>
      <c r="J325" s="2" t="s">
        <v>696</v>
      </c>
      <c r="K325" s="10">
        <f>ROUND(778.5,2)</f>
        <v>778.5</v>
      </c>
      <c r="L325" s="4">
        <v>400401</v>
      </c>
      <c r="M325" s="4">
        <v>10883</v>
      </c>
    </row>
    <row r="326" spans="1:13" ht="15.75" x14ac:dyDescent="0.2">
      <c r="A326" s="4" t="s">
        <v>491</v>
      </c>
      <c r="B326" s="4" t="s">
        <v>497</v>
      </c>
      <c r="C326" s="4">
        <v>5</v>
      </c>
      <c r="D326" s="4">
        <v>1342</v>
      </c>
      <c r="E326" s="4" t="s">
        <v>162</v>
      </c>
      <c r="F326" s="8">
        <v>182020</v>
      </c>
      <c r="G326" s="8" t="s">
        <v>694</v>
      </c>
      <c r="H326" s="8" t="s">
        <v>695</v>
      </c>
      <c r="I326" s="3" t="s">
        <v>659</v>
      </c>
      <c r="J326" s="2" t="s">
        <v>696</v>
      </c>
      <c r="K326" s="10">
        <f>ROUND(778.5,2)</f>
        <v>778.5</v>
      </c>
      <c r="L326" s="4">
        <v>400401</v>
      </c>
      <c r="M326" s="4">
        <v>10883</v>
      </c>
    </row>
    <row r="327" spans="1:13" ht="15.75" x14ac:dyDescent="0.2">
      <c r="A327" s="4" t="s">
        <v>491</v>
      </c>
      <c r="B327" s="4" t="s">
        <v>577</v>
      </c>
      <c r="C327" s="4">
        <v>1</v>
      </c>
      <c r="D327" s="4">
        <v>3529</v>
      </c>
      <c r="E327" s="4" t="s">
        <v>2</v>
      </c>
      <c r="F327" s="8">
        <v>390000</v>
      </c>
      <c r="G327" s="8" t="s">
        <v>664</v>
      </c>
      <c r="H327" s="8" t="s">
        <v>664</v>
      </c>
      <c r="I327" s="3" t="s">
        <v>659</v>
      </c>
      <c r="J327" s="2" t="s">
        <v>724</v>
      </c>
      <c r="K327" s="10">
        <f>ROUND(21906.56,2)</f>
        <v>21906.560000000001</v>
      </c>
      <c r="L327" s="4">
        <v>401600</v>
      </c>
      <c r="M327" s="4">
        <v>11168</v>
      </c>
    </row>
    <row r="328" spans="1:13" ht="15.75" x14ac:dyDescent="0.2">
      <c r="A328" s="4" t="s">
        <v>491</v>
      </c>
      <c r="B328" s="4" t="s">
        <v>508</v>
      </c>
      <c r="C328" s="4">
        <v>1</v>
      </c>
      <c r="D328" s="4">
        <v>1195</v>
      </c>
      <c r="E328" s="4" t="s">
        <v>336</v>
      </c>
      <c r="F328" s="8" t="e">
        <v>#N/A</v>
      </c>
      <c r="G328" s="8" t="e">
        <v>#N/A</v>
      </c>
      <c r="H328" s="8" t="e">
        <v>#N/A</v>
      </c>
      <c r="I328" s="3" t="s">
        <v>628</v>
      </c>
      <c r="J328" s="2" t="s">
        <v>752</v>
      </c>
      <c r="K328" s="10">
        <f>ROUND(360,2)</f>
        <v>360</v>
      </c>
      <c r="L328" s="4">
        <v>400117</v>
      </c>
      <c r="M328" s="4">
        <v>11658</v>
      </c>
    </row>
    <row r="329" spans="1:13" ht="15.75" x14ac:dyDescent="0.2">
      <c r="A329" s="4" t="s">
        <v>491</v>
      </c>
      <c r="B329" s="4" t="s">
        <v>508</v>
      </c>
      <c r="C329" s="4">
        <v>2</v>
      </c>
      <c r="D329" s="4">
        <v>1195</v>
      </c>
      <c r="E329" s="4" t="s">
        <v>336</v>
      </c>
      <c r="F329" s="8" t="e">
        <v>#N/A</v>
      </c>
      <c r="G329" s="8" t="e">
        <v>#N/A</v>
      </c>
      <c r="H329" s="8" t="e">
        <v>#N/A</v>
      </c>
      <c r="I329" s="3" t="s">
        <v>628</v>
      </c>
      <c r="J329" s="2" t="s">
        <v>752</v>
      </c>
      <c r="K329" s="10">
        <f>ROUND(35.95,2)</f>
        <v>35.950000000000003</v>
      </c>
      <c r="L329" s="4">
        <v>400117</v>
      </c>
      <c r="M329" s="4">
        <v>11658</v>
      </c>
    </row>
    <row r="330" spans="1:13" ht="15.75" x14ac:dyDescent="0.2">
      <c r="A330" s="4" t="s">
        <v>491</v>
      </c>
      <c r="B330" s="4" t="s">
        <v>508</v>
      </c>
      <c r="C330" s="4">
        <v>3</v>
      </c>
      <c r="D330" s="4">
        <v>1195</v>
      </c>
      <c r="E330" s="4" t="s">
        <v>336</v>
      </c>
      <c r="F330" s="8" t="e">
        <v>#N/A</v>
      </c>
      <c r="G330" s="8" t="e">
        <v>#N/A</v>
      </c>
      <c r="H330" s="8" t="e">
        <v>#N/A</v>
      </c>
      <c r="I330" s="3" t="s">
        <v>628</v>
      </c>
      <c r="J330" s="2" t="s">
        <v>752</v>
      </c>
      <c r="K330" s="10">
        <f>ROUND(35.95,2)</f>
        <v>35.950000000000003</v>
      </c>
      <c r="L330" s="4">
        <v>400117</v>
      </c>
      <c r="M330" s="4">
        <v>11658</v>
      </c>
    </row>
    <row r="331" spans="1:13" ht="15.75" x14ac:dyDescent="0.2">
      <c r="A331" s="4" t="s">
        <v>491</v>
      </c>
      <c r="B331" s="4" t="s">
        <v>508</v>
      </c>
      <c r="C331" s="4">
        <v>4</v>
      </c>
      <c r="D331" s="4">
        <v>1195</v>
      </c>
      <c r="E331" s="4" t="s">
        <v>336</v>
      </c>
      <c r="F331" s="8" t="e">
        <v>#N/A</v>
      </c>
      <c r="G331" s="8" t="e">
        <v>#N/A</v>
      </c>
      <c r="H331" s="8" t="e">
        <v>#N/A</v>
      </c>
      <c r="I331" s="3" t="s">
        <v>628</v>
      </c>
      <c r="J331" s="2" t="s">
        <v>752</v>
      </c>
      <c r="K331" s="10">
        <f>ROUND(66.63,2)</f>
        <v>66.63</v>
      </c>
      <c r="L331" s="4">
        <v>400117</v>
      </c>
      <c r="M331" s="4">
        <v>11658</v>
      </c>
    </row>
    <row r="332" spans="1:13" ht="15.75" x14ac:dyDescent="0.2">
      <c r="A332" s="4" t="s">
        <v>491</v>
      </c>
      <c r="B332" s="4" t="s">
        <v>508</v>
      </c>
      <c r="C332" s="4">
        <v>5</v>
      </c>
      <c r="D332" s="4">
        <v>1195</v>
      </c>
      <c r="E332" s="4" t="s">
        <v>336</v>
      </c>
      <c r="F332" s="8" t="e">
        <v>#N/A</v>
      </c>
      <c r="G332" s="8" t="e">
        <v>#N/A</v>
      </c>
      <c r="H332" s="8" t="e">
        <v>#N/A</v>
      </c>
      <c r="I332" s="3" t="s">
        <v>628</v>
      </c>
      <c r="J332" s="2" t="s">
        <v>752</v>
      </c>
      <c r="K332" s="10">
        <f>ROUND(399.92,2)</f>
        <v>399.92</v>
      </c>
      <c r="L332" s="4">
        <v>400117</v>
      </c>
      <c r="M332" s="4">
        <v>11658</v>
      </c>
    </row>
    <row r="333" spans="1:13" ht="15.75" x14ac:dyDescent="0.2">
      <c r="A333" s="4" t="s">
        <v>491</v>
      </c>
      <c r="B333" s="4" t="s">
        <v>508</v>
      </c>
      <c r="C333" s="4">
        <v>6</v>
      </c>
      <c r="D333" s="4">
        <v>1195</v>
      </c>
      <c r="E333" s="4" t="s">
        <v>336</v>
      </c>
      <c r="F333" s="8" t="e">
        <v>#N/A</v>
      </c>
      <c r="G333" s="8" t="e">
        <v>#N/A</v>
      </c>
      <c r="H333" s="8" t="e">
        <v>#N/A</v>
      </c>
      <c r="I333" s="3" t="s">
        <v>628</v>
      </c>
      <c r="J333" s="2" t="s">
        <v>752</v>
      </c>
      <c r="K333" s="10">
        <f>ROUND(399.92,2)</f>
        <v>399.92</v>
      </c>
      <c r="L333" s="4">
        <v>400117</v>
      </c>
      <c r="M333" s="4">
        <v>11658</v>
      </c>
    </row>
    <row r="334" spans="1:13" ht="15.75" x14ac:dyDescent="0.2">
      <c r="A334" s="4" t="s">
        <v>491</v>
      </c>
      <c r="B334" s="4" t="s">
        <v>508</v>
      </c>
      <c r="C334" s="4">
        <v>7</v>
      </c>
      <c r="D334" s="4">
        <v>1195</v>
      </c>
      <c r="E334" s="4" t="s">
        <v>336</v>
      </c>
      <c r="F334" s="8" t="e">
        <v>#N/A</v>
      </c>
      <c r="G334" s="8" t="e">
        <v>#N/A</v>
      </c>
      <c r="H334" s="8" t="e">
        <v>#N/A</v>
      </c>
      <c r="I334" s="3" t="s">
        <v>628</v>
      </c>
      <c r="J334" s="2" t="s">
        <v>752</v>
      </c>
      <c r="K334" s="10">
        <f>ROUND(399.92,2)</f>
        <v>399.92</v>
      </c>
      <c r="L334" s="4">
        <v>400117</v>
      </c>
      <c r="M334" s="4">
        <v>11658</v>
      </c>
    </row>
    <row r="335" spans="1:13" ht="15.75" x14ac:dyDescent="0.2">
      <c r="A335" s="4" t="s">
        <v>491</v>
      </c>
      <c r="B335" s="4" t="s">
        <v>508</v>
      </c>
      <c r="C335" s="4">
        <v>8</v>
      </c>
      <c r="D335" s="4">
        <v>1195</v>
      </c>
      <c r="E335" s="4" t="s">
        <v>336</v>
      </c>
      <c r="F335" s="8" t="e">
        <v>#N/A</v>
      </c>
      <c r="G335" s="8" t="e">
        <v>#N/A</v>
      </c>
      <c r="H335" s="8" t="e">
        <v>#N/A</v>
      </c>
      <c r="I335" s="3" t="s">
        <v>628</v>
      </c>
      <c r="J335" s="2" t="s">
        <v>752</v>
      </c>
      <c r="K335" s="10">
        <f>ROUND(399.92,2)</f>
        <v>399.92</v>
      </c>
      <c r="L335" s="4">
        <v>400117</v>
      </c>
      <c r="M335" s="4">
        <v>11658</v>
      </c>
    </row>
    <row r="336" spans="1:13" ht="15.75" x14ac:dyDescent="0.2">
      <c r="A336" s="4" t="s">
        <v>491</v>
      </c>
      <c r="B336" s="4" t="s">
        <v>508</v>
      </c>
      <c r="C336" s="4">
        <v>9</v>
      </c>
      <c r="D336" s="4">
        <v>1195</v>
      </c>
      <c r="E336" s="4" t="s">
        <v>336</v>
      </c>
      <c r="F336" s="8" t="e">
        <v>#N/A</v>
      </c>
      <c r="G336" s="8" t="e">
        <v>#N/A</v>
      </c>
      <c r="H336" s="8" t="e">
        <v>#N/A</v>
      </c>
      <c r="I336" s="3" t="s">
        <v>628</v>
      </c>
      <c r="J336" s="2" t="s">
        <v>752</v>
      </c>
      <c r="K336" s="10">
        <f>ROUND(399.92,2)</f>
        <v>399.92</v>
      </c>
      <c r="L336" s="4">
        <v>400117</v>
      </c>
      <c r="M336" s="4">
        <v>11658</v>
      </c>
    </row>
    <row r="337" spans="1:13" ht="15.75" x14ac:dyDescent="0.2">
      <c r="A337" s="4" t="s">
        <v>491</v>
      </c>
      <c r="B337" s="4" t="s">
        <v>508</v>
      </c>
      <c r="C337" s="4">
        <v>10</v>
      </c>
      <c r="D337" s="4">
        <v>1195</v>
      </c>
      <c r="E337" s="4" t="s">
        <v>336</v>
      </c>
      <c r="F337" s="8" t="e">
        <v>#N/A</v>
      </c>
      <c r="G337" s="8" t="e">
        <v>#N/A</v>
      </c>
      <c r="H337" s="8" t="e">
        <v>#N/A</v>
      </c>
      <c r="I337" s="3" t="s">
        <v>628</v>
      </c>
      <c r="J337" s="2" t="s">
        <v>752</v>
      </c>
      <c r="K337" s="10">
        <f>ROUND(299.94,2)</f>
        <v>299.94</v>
      </c>
      <c r="L337" s="4">
        <v>400117</v>
      </c>
      <c r="M337" s="4">
        <v>11658</v>
      </c>
    </row>
    <row r="338" spans="1:13" ht="15.75" x14ac:dyDescent="0.2">
      <c r="A338" s="4" t="s">
        <v>491</v>
      </c>
      <c r="B338" s="4" t="s">
        <v>508</v>
      </c>
      <c r="C338" s="4">
        <v>11</v>
      </c>
      <c r="D338" s="4">
        <v>1195</v>
      </c>
      <c r="E338" s="4" t="s">
        <v>336</v>
      </c>
      <c r="F338" s="8" t="e">
        <v>#N/A</v>
      </c>
      <c r="G338" s="8" t="e">
        <v>#N/A</v>
      </c>
      <c r="H338" s="8" t="e">
        <v>#N/A</v>
      </c>
      <c r="I338" s="3" t="s">
        <v>628</v>
      </c>
      <c r="J338" s="2" t="s">
        <v>752</v>
      </c>
      <c r="K338" s="10">
        <f>ROUND(99.98,2)</f>
        <v>99.98</v>
      </c>
      <c r="L338" s="4">
        <v>400117</v>
      </c>
      <c r="M338" s="4">
        <v>11658</v>
      </c>
    </row>
    <row r="339" spans="1:13" ht="15.75" x14ac:dyDescent="0.2">
      <c r="A339" s="4" t="s">
        <v>491</v>
      </c>
      <c r="B339" s="4" t="s">
        <v>508</v>
      </c>
      <c r="C339" s="4">
        <v>12</v>
      </c>
      <c r="D339" s="4">
        <v>1195</v>
      </c>
      <c r="E339" s="4" t="s">
        <v>336</v>
      </c>
      <c r="F339" s="8" t="e">
        <v>#N/A</v>
      </c>
      <c r="G339" s="8" t="e">
        <v>#N/A</v>
      </c>
      <c r="H339" s="8" t="e">
        <v>#N/A</v>
      </c>
      <c r="I339" s="3" t="s">
        <v>628</v>
      </c>
      <c r="J339" s="2" t="s">
        <v>752</v>
      </c>
      <c r="K339" s="10">
        <f>ROUND(364.6,2)</f>
        <v>364.6</v>
      </c>
      <c r="L339" s="4">
        <v>400117</v>
      </c>
      <c r="M339" s="4">
        <v>11658</v>
      </c>
    </row>
    <row r="340" spans="1:13" ht="15.75" x14ac:dyDescent="0.2">
      <c r="A340" s="4" t="s">
        <v>491</v>
      </c>
      <c r="B340" s="4" t="s">
        <v>508</v>
      </c>
      <c r="C340" s="4">
        <v>13</v>
      </c>
      <c r="D340" s="4">
        <v>1195</v>
      </c>
      <c r="E340" s="4" t="s">
        <v>336</v>
      </c>
      <c r="F340" s="8" t="e">
        <v>#N/A</v>
      </c>
      <c r="G340" s="8" t="e">
        <v>#N/A</v>
      </c>
      <c r="H340" s="8" t="e">
        <v>#N/A</v>
      </c>
      <c r="I340" s="3" t="s">
        <v>628</v>
      </c>
      <c r="J340" s="2" t="s">
        <v>752</v>
      </c>
      <c r="K340" s="10">
        <f>ROUND(615,2)</f>
        <v>615</v>
      </c>
      <c r="L340" s="4">
        <v>400117</v>
      </c>
      <c r="M340" s="4">
        <v>11658</v>
      </c>
    </row>
    <row r="341" spans="1:13" ht="15.75" x14ac:dyDescent="0.2">
      <c r="A341" s="4" t="s">
        <v>491</v>
      </c>
      <c r="B341" s="4" t="s">
        <v>508</v>
      </c>
      <c r="C341" s="4">
        <v>14</v>
      </c>
      <c r="D341" s="4">
        <v>1195</v>
      </c>
      <c r="E341" s="4" t="s">
        <v>336</v>
      </c>
      <c r="F341" s="8" t="e">
        <v>#N/A</v>
      </c>
      <c r="G341" s="8" t="e">
        <v>#N/A</v>
      </c>
      <c r="H341" s="8" t="e">
        <v>#N/A</v>
      </c>
      <c r="I341" s="3" t="s">
        <v>628</v>
      </c>
      <c r="J341" s="2" t="s">
        <v>752</v>
      </c>
      <c r="K341" s="10">
        <f>ROUND(604.5,2)</f>
        <v>604.5</v>
      </c>
      <c r="L341" s="4">
        <v>400117</v>
      </c>
      <c r="M341" s="4">
        <v>11658</v>
      </c>
    </row>
    <row r="342" spans="1:13" ht="15.75" x14ac:dyDescent="0.2">
      <c r="A342" s="4" t="s">
        <v>491</v>
      </c>
      <c r="B342" s="4" t="s">
        <v>508</v>
      </c>
      <c r="C342" s="4">
        <v>15</v>
      </c>
      <c r="D342" s="4">
        <v>1195</v>
      </c>
      <c r="E342" s="4" t="s">
        <v>336</v>
      </c>
      <c r="F342" s="8" t="e">
        <v>#N/A</v>
      </c>
      <c r="G342" s="8" t="e">
        <v>#N/A</v>
      </c>
      <c r="H342" s="8" t="e">
        <v>#N/A</v>
      </c>
      <c r="I342" s="3" t="s">
        <v>628</v>
      </c>
      <c r="J342" s="2" t="s">
        <v>752</v>
      </c>
      <c r="K342" s="10">
        <f>ROUND(153,2)</f>
        <v>153</v>
      </c>
      <c r="L342" s="4">
        <v>400117</v>
      </c>
      <c r="M342" s="4">
        <v>11658</v>
      </c>
    </row>
    <row r="343" spans="1:13" ht="15.75" x14ac:dyDescent="0.2">
      <c r="A343" s="4" t="s">
        <v>491</v>
      </c>
      <c r="B343" s="4" t="s">
        <v>508</v>
      </c>
      <c r="C343" s="4">
        <v>16</v>
      </c>
      <c r="D343" s="4">
        <v>1195</v>
      </c>
      <c r="E343" s="4" t="s">
        <v>336</v>
      </c>
      <c r="F343" s="8" t="e">
        <v>#N/A</v>
      </c>
      <c r="G343" s="8" t="e">
        <v>#N/A</v>
      </c>
      <c r="H343" s="8" t="e">
        <v>#N/A</v>
      </c>
      <c r="I343" s="3" t="s">
        <v>628</v>
      </c>
      <c r="J343" s="2" t="s">
        <v>752</v>
      </c>
      <c r="K343" s="10">
        <f>ROUND(170,2)</f>
        <v>170</v>
      </c>
      <c r="L343" s="4">
        <v>400117</v>
      </c>
      <c r="M343" s="4">
        <v>11658</v>
      </c>
    </row>
    <row r="344" spans="1:13" ht="15.75" x14ac:dyDescent="0.2">
      <c r="A344" s="4" t="s">
        <v>491</v>
      </c>
      <c r="B344" s="4" t="s">
        <v>508</v>
      </c>
      <c r="C344" s="4">
        <v>17</v>
      </c>
      <c r="D344" s="4">
        <v>1195</v>
      </c>
      <c r="E344" s="4" t="s">
        <v>336</v>
      </c>
      <c r="F344" s="8" t="e">
        <v>#N/A</v>
      </c>
      <c r="G344" s="8" t="e">
        <v>#N/A</v>
      </c>
      <c r="H344" s="8" t="e">
        <v>#N/A</v>
      </c>
      <c r="I344" s="3" t="s">
        <v>628</v>
      </c>
      <c r="J344" s="2" t="s">
        <v>752</v>
      </c>
      <c r="K344" s="10">
        <f>ROUND(76.5,2)</f>
        <v>76.5</v>
      </c>
      <c r="L344" s="4">
        <v>400117</v>
      </c>
      <c r="M344" s="4">
        <v>11658</v>
      </c>
    </row>
    <row r="345" spans="1:13" ht="15.75" x14ac:dyDescent="0.2">
      <c r="A345" s="4" t="s">
        <v>491</v>
      </c>
      <c r="B345" s="4" t="s">
        <v>508</v>
      </c>
      <c r="C345" s="4">
        <v>18</v>
      </c>
      <c r="D345" s="4">
        <v>1195</v>
      </c>
      <c r="E345" s="4" t="s">
        <v>336</v>
      </c>
      <c r="F345" s="8" t="e">
        <v>#N/A</v>
      </c>
      <c r="G345" s="8" t="e">
        <v>#N/A</v>
      </c>
      <c r="H345" s="8" t="e">
        <v>#N/A</v>
      </c>
      <c r="I345" s="3" t="s">
        <v>628</v>
      </c>
      <c r="J345" s="2" t="s">
        <v>752</v>
      </c>
      <c r="K345" s="10">
        <f>ROUND(17.99,2)</f>
        <v>17.989999999999998</v>
      </c>
      <c r="L345" s="4">
        <v>400117</v>
      </c>
      <c r="M345" s="4">
        <v>11658</v>
      </c>
    </row>
    <row r="346" spans="1:13" ht="15.75" x14ac:dyDescent="0.2">
      <c r="A346" s="4" t="s">
        <v>491</v>
      </c>
      <c r="B346" s="4" t="s">
        <v>508</v>
      </c>
      <c r="C346" s="4">
        <v>19</v>
      </c>
      <c r="D346" s="4">
        <v>1195</v>
      </c>
      <c r="E346" s="4" t="s">
        <v>336</v>
      </c>
      <c r="F346" s="8" t="e">
        <v>#N/A</v>
      </c>
      <c r="G346" s="8" t="e">
        <v>#N/A</v>
      </c>
      <c r="H346" s="8" t="e">
        <v>#N/A</v>
      </c>
      <c r="I346" s="3" t="s">
        <v>628</v>
      </c>
      <c r="J346" s="2" t="s">
        <v>752</v>
      </c>
      <c r="K346" s="10">
        <f>ROUND(315,2)</f>
        <v>315</v>
      </c>
      <c r="L346" s="4">
        <v>400117</v>
      </c>
      <c r="M346" s="4">
        <v>11658</v>
      </c>
    </row>
    <row r="347" spans="1:13" ht="15.75" x14ac:dyDescent="0.2">
      <c r="A347" s="4" t="s">
        <v>491</v>
      </c>
      <c r="B347" s="4" t="s">
        <v>508</v>
      </c>
      <c r="C347" s="4">
        <v>20</v>
      </c>
      <c r="D347" s="4">
        <v>1195</v>
      </c>
      <c r="E347" s="4" t="s">
        <v>336</v>
      </c>
      <c r="F347" s="8" t="e">
        <v>#N/A</v>
      </c>
      <c r="G347" s="8" t="e">
        <v>#N/A</v>
      </c>
      <c r="H347" s="8" t="e">
        <v>#N/A</v>
      </c>
      <c r="I347" s="3" t="s">
        <v>628</v>
      </c>
      <c r="J347" s="2" t="s">
        <v>752</v>
      </c>
      <c r="K347" s="10">
        <f>ROUND(118,2)</f>
        <v>118</v>
      </c>
      <c r="L347" s="4">
        <v>400117</v>
      </c>
      <c r="M347" s="4">
        <v>11658</v>
      </c>
    </row>
    <row r="348" spans="1:13" ht="15.75" x14ac:dyDescent="0.2">
      <c r="A348" s="4" t="s">
        <v>491</v>
      </c>
      <c r="B348" s="4" t="s">
        <v>508</v>
      </c>
      <c r="C348" s="4">
        <v>21</v>
      </c>
      <c r="D348" s="4">
        <v>1195</v>
      </c>
      <c r="E348" s="4" t="s">
        <v>336</v>
      </c>
      <c r="F348" s="8" t="e">
        <v>#N/A</v>
      </c>
      <c r="G348" s="8" t="e">
        <v>#N/A</v>
      </c>
      <c r="H348" s="8" t="e">
        <v>#N/A</v>
      </c>
      <c r="I348" s="3" t="s">
        <v>628</v>
      </c>
      <c r="J348" s="2" t="s">
        <v>752</v>
      </c>
      <c r="K348" s="10">
        <f>ROUND(118,2)</f>
        <v>118</v>
      </c>
      <c r="L348" s="4">
        <v>400117</v>
      </c>
      <c r="M348" s="4">
        <v>11658</v>
      </c>
    </row>
    <row r="349" spans="1:13" ht="15.75" x14ac:dyDescent="0.2">
      <c r="A349" s="4" t="s">
        <v>491</v>
      </c>
      <c r="B349" s="4" t="s">
        <v>578</v>
      </c>
      <c r="C349" s="4">
        <v>1</v>
      </c>
      <c r="D349" s="4">
        <v>11304</v>
      </c>
      <c r="E349" s="4" t="s">
        <v>579</v>
      </c>
      <c r="F349" s="8">
        <v>150000</v>
      </c>
      <c r="G349" s="8" t="s">
        <v>632</v>
      </c>
      <c r="H349" s="8" t="s">
        <v>633</v>
      </c>
      <c r="I349" s="3" t="s">
        <v>628</v>
      </c>
      <c r="J349" s="2" t="s">
        <v>649</v>
      </c>
      <c r="K349" s="10">
        <f>ROUND(5600,2)</f>
        <v>5600</v>
      </c>
      <c r="L349" s="4">
        <v>401020</v>
      </c>
      <c r="M349" s="4">
        <v>11489</v>
      </c>
    </row>
    <row r="350" spans="1:13" ht="15.75" x14ac:dyDescent="0.2">
      <c r="A350" s="4" t="s">
        <v>491</v>
      </c>
      <c r="B350" s="4" t="s">
        <v>584</v>
      </c>
      <c r="C350" s="4">
        <v>1</v>
      </c>
      <c r="D350" s="4">
        <v>7753</v>
      </c>
      <c r="E350" s="4" t="s">
        <v>585</v>
      </c>
      <c r="F350" s="8">
        <v>270000</v>
      </c>
      <c r="G350" s="8" t="s">
        <v>621</v>
      </c>
      <c r="H350" s="8" t="s">
        <v>622</v>
      </c>
      <c r="I350" s="3" t="s">
        <v>619</v>
      </c>
      <c r="J350" s="2" t="s">
        <v>790</v>
      </c>
      <c r="K350" s="10">
        <f>ROUND(132462,2)</f>
        <v>132462</v>
      </c>
      <c r="L350" s="4">
        <v>402001</v>
      </c>
      <c r="M350" s="4">
        <v>12503</v>
      </c>
    </row>
    <row r="351" spans="1:13" ht="15.75" x14ac:dyDescent="0.2">
      <c r="A351" s="4" t="s">
        <v>491</v>
      </c>
      <c r="B351" s="4" t="s">
        <v>584</v>
      </c>
      <c r="C351" s="4">
        <v>2</v>
      </c>
      <c r="D351" s="4">
        <v>7753</v>
      </c>
      <c r="E351" s="4" t="s">
        <v>585</v>
      </c>
      <c r="F351" s="8">
        <v>270000</v>
      </c>
      <c r="G351" s="8" t="s">
        <v>621</v>
      </c>
      <c r="H351" s="8" t="s">
        <v>622</v>
      </c>
      <c r="I351" s="3" t="s">
        <v>619</v>
      </c>
      <c r="J351" s="2" t="s">
        <v>790</v>
      </c>
      <c r="K351" s="10">
        <f>ROUND(30690,2)</f>
        <v>30690</v>
      </c>
      <c r="L351" s="4">
        <v>402001</v>
      </c>
      <c r="M351" s="4">
        <v>12503</v>
      </c>
    </row>
    <row r="352" spans="1:13" ht="15.75" x14ac:dyDescent="0.25">
      <c r="A352" s="4" t="s">
        <v>531</v>
      </c>
      <c r="B352" s="4" t="s">
        <v>580</v>
      </c>
      <c r="C352" s="4">
        <v>1</v>
      </c>
      <c r="D352" s="4">
        <v>6748</v>
      </c>
      <c r="E352" s="4" t="s">
        <v>46</v>
      </c>
      <c r="F352" s="8">
        <v>390000</v>
      </c>
      <c r="G352" s="8" t="s">
        <v>664</v>
      </c>
      <c r="H352" s="8" t="s">
        <v>664</v>
      </c>
      <c r="I352" s="1" t="s">
        <v>659</v>
      </c>
      <c r="J352" s="2" t="e">
        <v>#N/A</v>
      </c>
      <c r="K352" s="10">
        <f>ROUND(9779.26,2)</f>
        <v>9779.26</v>
      </c>
      <c r="L352" s="4">
        <v>401600</v>
      </c>
      <c r="M352" s="4" t="s">
        <v>581</v>
      </c>
    </row>
    <row r="353" spans="1:13" ht="15.75" x14ac:dyDescent="0.25">
      <c r="A353" s="4" t="s">
        <v>531</v>
      </c>
      <c r="B353" s="4" t="s">
        <v>571</v>
      </c>
      <c r="C353" s="4">
        <v>1</v>
      </c>
      <c r="D353" s="4">
        <v>5915</v>
      </c>
      <c r="E353" s="4" t="s">
        <v>377</v>
      </c>
      <c r="F353" s="8">
        <v>150000</v>
      </c>
      <c r="G353" s="8" t="s">
        <v>632</v>
      </c>
      <c r="H353" s="8" t="s">
        <v>633</v>
      </c>
      <c r="I353" s="1" t="s">
        <v>628</v>
      </c>
      <c r="J353" s="2" t="e">
        <v>#N/A</v>
      </c>
      <c r="K353" s="10">
        <f>ROUND(1377280,2)</f>
        <v>1377280</v>
      </c>
      <c r="L353" s="4">
        <v>401007</v>
      </c>
      <c r="M353" s="4" t="s">
        <v>68</v>
      </c>
    </row>
    <row r="354" spans="1:13" ht="15.75" x14ac:dyDescent="0.2">
      <c r="A354" s="4" t="s">
        <v>531</v>
      </c>
      <c r="B354" s="4" t="s">
        <v>576</v>
      </c>
      <c r="C354" s="4">
        <v>1</v>
      </c>
      <c r="D354" s="4">
        <v>7025</v>
      </c>
      <c r="E354" s="4" t="s">
        <v>289</v>
      </c>
      <c r="F354" s="8">
        <v>150000</v>
      </c>
      <c r="G354" s="8" t="s">
        <v>632</v>
      </c>
      <c r="H354" s="8" t="s">
        <v>633</v>
      </c>
      <c r="I354" s="3" t="s">
        <v>659</v>
      </c>
      <c r="J354" s="2" t="s">
        <v>755</v>
      </c>
      <c r="K354" s="10">
        <f>ROUND(13750,2)</f>
        <v>13750</v>
      </c>
      <c r="L354" s="4">
        <v>401020</v>
      </c>
      <c r="M354" s="4">
        <v>12866</v>
      </c>
    </row>
    <row r="355" spans="1:13" ht="15.75" x14ac:dyDescent="0.2">
      <c r="A355" s="4" t="s">
        <v>531</v>
      </c>
      <c r="B355" s="4" t="s">
        <v>576</v>
      </c>
      <c r="C355" s="4">
        <v>2</v>
      </c>
      <c r="D355" s="4">
        <v>7025</v>
      </c>
      <c r="E355" s="4" t="s">
        <v>289</v>
      </c>
      <c r="F355" s="8">
        <v>150000</v>
      </c>
      <c r="G355" s="8" t="s">
        <v>632</v>
      </c>
      <c r="H355" s="8" t="s">
        <v>633</v>
      </c>
      <c r="I355" s="3" t="s">
        <v>659</v>
      </c>
      <c r="J355" s="2" t="s">
        <v>755</v>
      </c>
      <c r="K355" s="10">
        <f>ROUND(6250,2)</f>
        <v>6250</v>
      </c>
      <c r="L355" s="4">
        <v>401020</v>
      </c>
      <c r="M355" s="4">
        <v>12866</v>
      </c>
    </row>
    <row r="356" spans="1:13" ht="15.75" x14ac:dyDescent="0.2">
      <c r="A356" s="4" t="s">
        <v>531</v>
      </c>
      <c r="B356" s="4" t="s">
        <v>530</v>
      </c>
      <c r="C356" s="4">
        <v>1</v>
      </c>
      <c r="D356" s="4">
        <v>13099</v>
      </c>
      <c r="E356" s="4" t="s">
        <v>64</v>
      </c>
      <c r="F356" s="8">
        <v>150000</v>
      </c>
      <c r="G356" s="8" t="s">
        <v>632</v>
      </c>
      <c r="H356" s="8" t="s">
        <v>633</v>
      </c>
      <c r="I356" s="3" t="s">
        <v>659</v>
      </c>
      <c r="J356" s="2" t="s">
        <v>663</v>
      </c>
      <c r="K356" s="10">
        <f>ROUND(437551.26,2)</f>
        <v>437551.26</v>
      </c>
      <c r="L356" s="4">
        <v>401020</v>
      </c>
      <c r="M356" s="4">
        <v>12328</v>
      </c>
    </row>
    <row r="357" spans="1:13" ht="15.75" x14ac:dyDescent="0.2">
      <c r="A357" s="4" t="s">
        <v>531</v>
      </c>
      <c r="B357" s="4" t="s">
        <v>530</v>
      </c>
      <c r="C357" s="4">
        <v>2</v>
      </c>
      <c r="D357" s="4">
        <v>13099</v>
      </c>
      <c r="E357" s="4" t="s">
        <v>64</v>
      </c>
      <c r="F357" s="8">
        <v>150000</v>
      </c>
      <c r="G357" s="8" t="s">
        <v>632</v>
      </c>
      <c r="H357" s="8" t="s">
        <v>633</v>
      </c>
      <c r="I357" s="3" t="s">
        <v>659</v>
      </c>
      <c r="J357" s="2" t="s">
        <v>663</v>
      </c>
      <c r="K357" s="10">
        <f>ROUND(586826.57,2)</f>
        <v>586826.56999999995</v>
      </c>
      <c r="L357" s="4">
        <v>401020</v>
      </c>
      <c r="M357" s="4">
        <v>12328</v>
      </c>
    </row>
    <row r="358" spans="1:13" ht="15.75" x14ac:dyDescent="0.2">
      <c r="A358" s="4" t="s">
        <v>531</v>
      </c>
      <c r="B358" s="4" t="s">
        <v>570</v>
      </c>
      <c r="C358" s="4">
        <v>1</v>
      </c>
      <c r="D358" s="4">
        <v>6967</v>
      </c>
      <c r="E358" s="4" t="s">
        <v>78</v>
      </c>
      <c r="F358" s="8">
        <v>150000</v>
      </c>
      <c r="G358" s="8" t="s">
        <v>632</v>
      </c>
      <c r="H358" s="8" t="s">
        <v>633</v>
      </c>
      <c r="I358" s="3" t="s">
        <v>659</v>
      </c>
      <c r="J358" s="2" t="s">
        <v>791</v>
      </c>
      <c r="K358" s="10">
        <f>ROUND(87436.8,2)</f>
        <v>87436.800000000003</v>
      </c>
      <c r="L358" s="4">
        <v>401020</v>
      </c>
      <c r="M358" s="4">
        <v>11965</v>
      </c>
    </row>
    <row r="359" spans="1:13" ht="15.75" x14ac:dyDescent="0.2">
      <c r="A359" s="4" t="s">
        <v>531</v>
      </c>
      <c r="B359" s="4" t="s">
        <v>587</v>
      </c>
      <c r="C359" s="4">
        <v>1</v>
      </c>
      <c r="D359" s="4">
        <v>1353</v>
      </c>
      <c r="E359" s="4" t="s">
        <v>29</v>
      </c>
      <c r="F359" s="8">
        <v>390000</v>
      </c>
      <c r="G359" s="8" t="s">
        <v>664</v>
      </c>
      <c r="H359" s="8" t="s">
        <v>664</v>
      </c>
      <c r="I359" s="3" t="s">
        <v>659</v>
      </c>
      <c r="J359" s="2" t="s">
        <v>762</v>
      </c>
      <c r="K359" s="10">
        <f>ROUND(9215.14,2)</f>
        <v>9215.14</v>
      </c>
      <c r="L359" s="4">
        <v>401600</v>
      </c>
      <c r="M359" s="4">
        <v>11975</v>
      </c>
    </row>
    <row r="360" spans="1:13" ht="15.75" x14ac:dyDescent="0.25">
      <c r="A360" s="4" t="s">
        <v>504</v>
      </c>
      <c r="B360" s="4" t="s">
        <v>563</v>
      </c>
      <c r="C360" s="4">
        <v>1</v>
      </c>
      <c r="D360" s="4">
        <v>11731</v>
      </c>
      <c r="E360" s="4" t="s">
        <v>564</v>
      </c>
      <c r="F360" s="8">
        <v>390000</v>
      </c>
      <c r="G360" s="8" t="s">
        <v>664</v>
      </c>
      <c r="H360" s="8" t="s">
        <v>664</v>
      </c>
      <c r="I360" s="1" t="s">
        <v>659</v>
      </c>
      <c r="J360" s="2" t="e">
        <v>#N/A</v>
      </c>
      <c r="K360" s="10">
        <f>ROUND(10000,2)</f>
        <v>10000</v>
      </c>
      <c r="L360" s="4">
        <v>401600</v>
      </c>
      <c r="M360" s="4" t="s">
        <v>16</v>
      </c>
    </row>
    <row r="361" spans="1:13" ht="15.75" x14ac:dyDescent="0.2">
      <c r="A361" s="4" t="s">
        <v>534</v>
      </c>
      <c r="B361" s="4" t="s">
        <v>554</v>
      </c>
      <c r="C361" s="4">
        <v>1</v>
      </c>
      <c r="D361" s="4">
        <v>13155</v>
      </c>
      <c r="E361" s="4" t="s">
        <v>333</v>
      </c>
      <c r="F361" s="8">
        <v>270000</v>
      </c>
      <c r="G361" s="8" t="s">
        <v>621</v>
      </c>
      <c r="H361" s="8" t="s">
        <v>622</v>
      </c>
      <c r="I361" s="3" t="s">
        <v>659</v>
      </c>
      <c r="J361" s="2" t="s">
        <v>792</v>
      </c>
      <c r="K361" s="10">
        <f>ROUND(8995,2)</f>
        <v>8995</v>
      </c>
      <c r="L361" s="4">
        <v>402001</v>
      </c>
      <c r="M361" s="4">
        <v>10062</v>
      </c>
    </row>
    <row r="362" spans="1:13" ht="15.75" x14ac:dyDescent="0.25">
      <c r="A362" s="4" t="s">
        <v>534</v>
      </c>
      <c r="B362" s="4" t="s">
        <v>568</v>
      </c>
      <c r="C362" s="4">
        <v>1</v>
      </c>
      <c r="D362" s="4">
        <v>8561</v>
      </c>
      <c r="E362" s="4" t="s">
        <v>569</v>
      </c>
      <c r="F362" s="8">
        <v>390000</v>
      </c>
      <c r="G362" s="8" t="s">
        <v>664</v>
      </c>
      <c r="H362" s="8" t="s">
        <v>664</v>
      </c>
      <c r="I362" s="1" t="s">
        <v>659</v>
      </c>
      <c r="J362" s="2" t="e">
        <v>#N/A</v>
      </c>
      <c r="K362" s="10">
        <f>ROUND(110000,2)</f>
        <v>110000</v>
      </c>
      <c r="L362" s="4">
        <v>401600</v>
      </c>
      <c r="M362" s="4" t="s">
        <v>16</v>
      </c>
    </row>
    <row r="363" spans="1:13" ht="15.75" x14ac:dyDescent="0.25">
      <c r="A363" s="4" t="s">
        <v>534</v>
      </c>
      <c r="B363" s="4" t="s">
        <v>535</v>
      </c>
      <c r="C363" s="4">
        <v>1</v>
      </c>
      <c r="D363" s="4">
        <v>6967</v>
      </c>
      <c r="E363" s="4" t="s">
        <v>78</v>
      </c>
      <c r="F363" s="8">
        <v>150000</v>
      </c>
      <c r="G363" s="8" t="s">
        <v>632</v>
      </c>
      <c r="H363" s="8" t="s">
        <v>633</v>
      </c>
      <c r="I363" s="1" t="s">
        <v>659</v>
      </c>
      <c r="J363" s="2" t="e">
        <v>#N/A</v>
      </c>
      <c r="K363" s="10">
        <f>ROUND(37459.3,2)</f>
        <v>37459.300000000003</v>
      </c>
      <c r="L363" s="4">
        <v>401007</v>
      </c>
      <c r="M363" s="4" t="s">
        <v>469</v>
      </c>
    </row>
    <row r="364" spans="1:13" ht="15.75" x14ac:dyDescent="0.2">
      <c r="A364" s="4" t="s">
        <v>534</v>
      </c>
      <c r="B364" s="4" t="s">
        <v>588</v>
      </c>
      <c r="C364" s="4">
        <v>1</v>
      </c>
      <c r="D364" s="4">
        <v>4509</v>
      </c>
      <c r="E364" s="4" t="s">
        <v>273</v>
      </c>
      <c r="F364" s="8">
        <v>230000</v>
      </c>
      <c r="G364" s="8" t="s">
        <v>726</v>
      </c>
      <c r="H364" s="8" t="s">
        <v>727</v>
      </c>
      <c r="I364" s="3" t="s">
        <v>659</v>
      </c>
      <c r="J364" s="2" t="s">
        <v>793</v>
      </c>
      <c r="K364" s="10">
        <f>ROUND(6600.7,2)</f>
        <v>6600.7</v>
      </c>
      <c r="L364" s="4">
        <v>202050</v>
      </c>
      <c r="M364" s="4">
        <v>13039</v>
      </c>
    </row>
    <row r="365" spans="1:13" ht="15.75" x14ac:dyDescent="0.2">
      <c r="A365" s="4" t="s">
        <v>534</v>
      </c>
      <c r="B365" s="4" t="s">
        <v>589</v>
      </c>
      <c r="C365" s="4">
        <v>1</v>
      </c>
      <c r="D365" s="4">
        <v>9715</v>
      </c>
      <c r="E365" s="4" t="s">
        <v>590</v>
      </c>
      <c r="F365" s="8">
        <v>999999</v>
      </c>
      <c r="G365" s="8" t="s">
        <v>627</v>
      </c>
      <c r="H365" s="8" t="s">
        <v>627</v>
      </c>
      <c r="I365" s="3" t="s">
        <v>628</v>
      </c>
      <c r="J365" s="2" t="s">
        <v>794</v>
      </c>
      <c r="K365" s="10">
        <f>ROUND(8000,2)</f>
        <v>8000</v>
      </c>
      <c r="L365" s="4">
        <v>402404</v>
      </c>
      <c r="M365" s="4">
        <v>12736</v>
      </c>
    </row>
    <row r="366" spans="1:13" ht="15.75" x14ac:dyDescent="0.2">
      <c r="A366" s="4" t="s">
        <v>534</v>
      </c>
      <c r="B366" s="4" t="s">
        <v>560</v>
      </c>
      <c r="C366" s="4">
        <v>1</v>
      </c>
      <c r="D366" s="4">
        <v>6967</v>
      </c>
      <c r="E366" s="4" t="s">
        <v>78</v>
      </c>
      <c r="F366" s="8">
        <v>150000</v>
      </c>
      <c r="G366" s="8" t="s">
        <v>632</v>
      </c>
      <c r="H366" s="8" t="s">
        <v>633</v>
      </c>
      <c r="I366" s="3" t="s">
        <v>659</v>
      </c>
      <c r="J366" s="2" t="s">
        <v>750</v>
      </c>
      <c r="K366" s="10">
        <f>ROUND(127400,2)</f>
        <v>127400</v>
      </c>
      <c r="L366" s="4">
        <v>401020</v>
      </c>
      <c r="M366" s="4">
        <v>13062</v>
      </c>
    </row>
    <row r="367" spans="1:13" ht="15.75" x14ac:dyDescent="0.2">
      <c r="A367" s="4" t="s">
        <v>534</v>
      </c>
      <c r="B367" s="4" t="s">
        <v>559</v>
      </c>
      <c r="C367" s="4">
        <v>1</v>
      </c>
      <c r="D367" s="4">
        <v>5915</v>
      </c>
      <c r="E367" s="4" t="s">
        <v>377</v>
      </c>
      <c r="F367" s="8">
        <v>150000</v>
      </c>
      <c r="G367" s="8" t="s">
        <v>632</v>
      </c>
      <c r="H367" s="8" t="s">
        <v>633</v>
      </c>
      <c r="I367" s="3" t="s">
        <v>659</v>
      </c>
      <c r="J367" s="2" t="s">
        <v>750</v>
      </c>
      <c r="K367" s="10">
        <f>ROUND(119730,2)</f>
        <v>119730</v>
      </c>
      <c r="L367" s="4">
        <v>401020</v>
      </c>
      <c r="M367" s="4">
        <v>13062</v>
      </c>
    </row>
    <row r="368" spans="1:13" ht="15.75" x14ac:dyDescent="0.2">
      <c r="A368" s="4" t="s">
        <v>534</v>
      </c>
      <c r="B368" s="4" t="s">
        <v>593</v>
      </c>
      <c r="C368" s="4">
        <v>1</v>
      </c>
      <c r="D368" s="4">
        <v>8233</v>
      </c>
      <c r="E368" s="4" t="s">
        <v>160</v>
      </c>
      <c r="F368" s="8">
        <v>182020</v>
      </c>
      <c r="G368" s="8" t="s">
        <v>694</v>
      </c>
      <c r="H368" s="8" t="s">
        <v>695</v>
      </c>
      <c r="I368" s="3" t="s">
        <v>659</v>
      </c>
      <c r="J368" s="2" t="s">
        <v>780</v>
      </c>
      <c r="K368" s="10">
        <f>ROUND(7728,2)</f>
        <v>7728</v>
      </c>
      <c r="L368" s="4">
        <v>400401</v>
      </c>
      <c r="M368" s="4">
        <v>10864</v>
      </c>
    </row>
    <row r="369" spans="1:13" ht="15.75" x14ac:dyDescent="0.2">
      <c r="A369" s="4" t="s">
        <v>534</v>
      </c>
      <c r="B369" s="4" t="s">
        <v>593</v>
      </c>
      <c r="C369" s="4">
        <v>2</v>
      </c>
      <c r="D369" s="4">
        <v>8233</v>
      </c>
      <c r="E369" s="4" t="s">
        <v>160</v>
      </c>
      <c r="F369" s="8">
        <v>182020</v>
      </c>
      <c r="G369" s="8" t="s">
        <v>694</v>
      </c>
      <c r="H369" s="8" t="s">
        <v>695</v>
      </c>
      <c r="I369" s="3" t="s">
        <v>659</v>
      </c>
      <c r="J369" s="2" t="s">
        <v>780</v>
      </c>
      <c r="K369" s="10">
        <f>ROUND(7728,2)</f>
        <v>7728</v>
      </c>
      <c r="L369" s="4">
        <v>400401</v>
      </c>
      <c r="M369" s="4">
        <v>10864</v>
      </c>
    </row>
    <row r="370" spans="1:13" ht="15.75" x14ac:dyDescent="0.2">
      <c r="A370" s="4" t="s">
        <v>534</v>
      </c>
      <c r="B370" s="4" t="s">
        <v>594</v>
      </c>
      <c r="C370" s="4">
        <v>1</v>
      </c>
      <c r="D370" s="4">
        <v>3529</v>
      </c>
      <c r="E370" s="4" t="s">
        <v>2</v>
      </c>
      <c r="F370" s="8">
        <v>390000</v>
      </c>
      <c r="G370" s="8" t="s">
        <v>664</v>
      </c>
      <c r="H370" s="8" t="s">
        <v>664</v>
      </c>
      <c r="I370" s="3" t="s">
        <v>659</v>
      </c>
      <c r="J370" s="2" t="s">
        <v>724</v>
      </c>
      <c r="K370" s="10">
        <f>ROUND(13423.63,2)</f>
        <v>13423.63</v>
      </c>
      <c r="L370" s="4">
        <v>401600</v>
      </c>
      <c r="M370" s="4">
        <v>11168</v>
      </c>
    </row>
    <row r="371" spans="1:13" ht="15.75" x14ac:dyDescent="0.25">
      <c r="A371" s="4" t="s">
        <v>534</v>
      </c>
      <c r="B371" s="4" t="s">
        <v>595</v>
      </c>
      <c r="C371" s="4">
        <v>1</v>
      </c>
      <c r="D371" s="4">
        <v>9453</v>
      </c>
      <c r="E371" s="4" t="s">
        <v>168</v>
      </c>
      <c r="F371" s="8">
        <v>390000</v>
      </c>
      <c r="G371" s="8" t="s">
        <v>624</v>
      </c>
      <c r="H371" s="8" t="s">
        <v>625</v>
      </c>
      <c r="I371" s="1" t="s">
        <v>659</v>
      </c>
      <c r="J371" s="2" t="e">
        <v>#N/A</v>
      </c>
      <c r="K371" s="10">
        <f>ROUND(47859,2)</f>
        <v>47859</v>
      </c>
      <c r="L371" s="4">
        <v>200304</v>
      </c>
      <c r="M371" s="4" t="s">
        <v>596</v>
      </c>
    </row>
    <row r="372" spans="1:13" ht="15.75" x14ac:dyDescent="0.2">
      <c r="A372" s="4" t="s">
        <v>567</v>
      </c>
      <c r="B372" s="4" t="s">
        <v>586</v>
      </c>
      <c r="C372" s="4">
        <v>1</v>
      </c>
      <c r="D372" s="4">
        <v>12193</v>
      </c>
      <c r="E372" s="4" t="s">
        <v>272</v>
      </c>
      <c r="F372" s="8">
        <v>150000</v>
      </c>
      <c r="G372" s="8" t="s">
        <v>632</v>
      </c>
      <c r="H372" s="8" t="s">
        <v>633</v>
      </c>
      <c r="I372" s="3" t="s">
        <v>628</v>
      </c>
      <c r="J372" s="2" t="s">
        <v>739</v>
      </c>
      <c r="K372" s="10">
        <f>ROUND(5158.36,2)</f>
        <v>5158.3599999999997</v>
      </c>
      <c r="L372" s="4">
        <v>401020</v>
      </c>
      <c r="M372" s="4">
        <v>12732</v>
      </c>
    </row>
    <row r="373" spans="1:13" ht="15.75" x14ac:dyDescent="0.2">
      <c r="A373" s="4" t="s">
        <v>567</v>
      </c>
      <c r="B373" s="4" t="s">
        <v>582</v>
      </c>
      <c r="C373" s="4">
        <v>1</v>
      </c>
      <c r="D373" s="4">
        <v>10177</v>
      </c>
      <c r="E373" s="4" t="s">
        <v>583</v>
      </c>
      <c r="F373" s="8">
        <v>320000</v>
      </c>
      <c r="G373" s="8" t="s">
        <v>646</v>
      </c>
      <c r="H373" s="8" t="s">
        <v>647</v>
      </c>
      <c r="I373" s="3" t="s">
        <v>628</v>
      </c>
      <c r="J373" s="2" t="s">
        <v>739</v>
      </c>
      <c r="K373" s="10">
        <f>ROUND(11163.89,2)</f>
        <v>11163.89</v>
      </c>
      <c r="L373" s="4">
        <v>530356</v>
      </c>
      <c r="M373" s="4">
        <v>12732</v>
      </c>
    </row>
    <row r="374" spans="1:13" ht="15.75" x14ac:dyDescent="0.2">
      <c r="A374" s="4" t="s">
        <v>567</v>
      </c>
      <c r="B374" s="4" t="s">
        <v>566</v>
      </c>
      <c r="C374" s="4">
        <v>1</v>
      </c>
      <c r="D374" s="4">
        <v>3707</v>
      </c>
      <c r="E374" s="4" t="s">
        <v>37</v>
      </c>
      <c r="F374" s="8">
        <v>220000</v>
      </c>
      <c r="G374" s="8" t="s">
        <v>717</v>
      </c>
      <c r="H374" s="8" t="s">
        <v>627</v>
      </c>
      <c r="I374" s="3" t="s">
        <v>659</v>
      </c>
      <c r="J374" s="2" t="s">
        <v>795</v>
      </c>
      <c r="K374" s="10">
        <f>ROUND(12000,2)</f>
        <v>12000</v>
      </c>
      <c r="L374" s="4">
        <v>401000</v>
      </c>
      <c r="M374" s="4">
        <v>10920</v>
      </c>
    </row>
    <row r="375" spans="1:13" ht="15.75" x14ac:dyDescent="0.2">
      <c r="A375" s="4" t="s">
        <v>565</v>
      </c>
      <c r="B375" s="4" t="s">
        <v>591</v>
      </c>
      <c r="C375" s="4">
        <v>1</v>
      </c>
      <c r="D375" s="4">
        <v>1339</v>
      </c>
      <c r="E375" s="4" t="s">
        <v>165</v>
      </c>
      <c r="F375" s="8">
        <v>310000</v>
      </c>
      <c r="G375" s="8" t="s">
        <v>765</v>
      </c>
      <c r="H375" s="8" t="s">
        <v>648</v>
      </c>
      <c r="I375" s="3" t="s">
        <v>628</v>
      </c>
      <c r="J375" s="2" t="s">
        <v>746</v>
      </c>
      <c r="K375" s="10">
        <f>ROUND(55900,2)</f>
        <v>55900</v>
      </c>
      <c r="L375" s="4">
        <v>500401</v>
      </c>
      <c r="M375" s="4">
        <v>12737</v>
      </c>
    </row>
    <row r="376" spans="1:13" ht="15.75" x14ac:dyDescent="0.2">
      <c r="A376" s="4" t="s">
        <v>565</v>
      </c>
      <c r="B376" s="4" t="s">
        <v>592</v>
      </c>
      <c r="C376" s="4">
        <v>1</v>
      </c>
      <c r="D376" s="4">
        <v>12193</v>
      </c>
      <c r="E376" s="4" t="s">
        <v>272</v>
      </c>
      <c r="F376" s="8">
        <v>999999</v>
      </c>
      <c r="G376" s="8" t="s">
        <v>796</v>
      </c>
      <c r="H376" s="8" t="s">
        <v>797</v>
      </c>
      <c r="I376" s="3" t="s">
        <v>628</v>
      </c>
      <c r="J376" s="2" t="s">
        <v>649</v>
      </c>
      <c r="K376" s="10">
        <f>ROUND(45347,2)</f>
        <v>45347</v>
      </c>
      <c r="L376" s="4">
        <v>100100</v>
      </c>
      <c r="M376" s="4">
        <v>11489</v>
      </c>
    </row>
    <row r="377" spans="1:13" ht="15.75" x14ac:dyDescent="0.2">
      <c r="A377" s="4" t="s">
        <v>565</v>
      </c>
      <c r="B377" s="4" t="s">
        <v>574</v>
      </c>
      <c r="C377" s="4">
        <v>1</v>
      </c>
      <c r="D377" s="4">
        <v>14079</v>
      </c>
      <c r="E377" s="4" t="s">
        <v>575</v>
      </c>
      <c r="F377" s="8">
        <v>270000</v>
      </c>
      <c r="G377" s="8" t="s">
        <v>621</v>
      </c>
      <c r="H377" s="8" t="s">
        <v>622</v>
      </c>
      <c r="I377" s="3" t="s">
        <v>619</v>
      </c>
      <c r="J377" s="2" t="s">
        <v>718</v>
      </c>
      <c r="K377" s="10">
        <f>ROUND(69000,2)</f>
        <v>69000</v>
      </c>
      <c r="L377" s="4">
        <v>402001</v>
      </c>
      <c r="M377" s="4">
        <v>13044</v>
      </c>
    </row>
    <row r="378" spans="1:13" ht="15.75" x14ac:dyDescent="0.2">
      <c r="A378" s="4" t="s">
        <v>565</v>
      </c>
      <c r="B378" s="4" t="s">
        <v>574</v>
      </c>
      <c r="C378" s="4">
        <v>2</v>
      </c>
      <c r="D378" s="4">
        <v>14079</v>
      </c>
      <c r="E378" s="4" t="s">
        <v>575</v>
      </c>
      <c r="F378" s="8">
        <v>270000</v>
      </c>
      <c r="G378" s="8" t="s">
        <v>621</v>
      </c>
      <c r="H378" s="8" t="s">
        <v>622</v>
      </c>
      <c r="I378" s="3" t="s">
        <v>619</v>
      </c>
      <c r="J378" s="2" t="s">
        <v>718</v>
      </c>
      <c r="K378" s="10">
        <f>ROUND(51200,2)</f>
        <v>51200</v>
      </c>
      <c r="L378" s="4">
        <v>402001</v>
      </c>
      <c r="M378" s="4">
        <v>13044</v>
      </c>
    </row>
    <row r="379" spans="1:13" ht="15.75" x14ac:dyDescent="0.2">
      <c r="A379" s="4" t="s">
        <v>565</v>
      </c>
      <c r="B379" s="4" t="s">
        <v>600</v>
      </c>
      <c r="C379" s="4">
        <v>1</v>
      </c>
      <c r="D379" s="4">
        <v>5276</v>
      </c>
      <c r="E379" s="4" t="s">
        <v>601</v>
      </c>
      <c r="F379" s="8">
        <v>182020</v>
      </c>
      <c r="G379" s="8" t="s">
        <v>694</v>
      </c>
      <c r="H379" s="8" t="s">
        <v>695</v>
      </c>
      <c r="I379" s="3" t="s">
        <v>659</v>
      </c>
      <c r="J379" s="2" t="s">
        <v>780</v>
      </c>
      <c r="K379" s="10">
        <f>ROUND(6818,2)</f>
        <v>6818</v>
      </c>
      <c r="L379" s="4">
        <v>400401</v>
      </c>
      <c r="M379" s="4">
        <v>10864</v>
      </c>
    </row>
    <row r="380" spans="1:13" ht="15.75" x14ac:dyDescent="0.2">
      <c r="A380" s="4" t="s">
        <v>565</v>
      </c>
      <c r="B380" s="4" t="s">
        <v>600</v>
      </c>
      <c r="C380" s="4">
        <v>2</v>
      </c>
      <c r="D380" s="4">
        <v>5276</v>
      </c>
      <c r="E380" s="4" t="s">
        <v>601</v>
      </c>
      <c r="F380" s="8">
        <v>182020</v>
      </c>
      <c r="G380" s="8" t="s">
        <v>694</v>
      </c>
      <c r="H380" s="8" t="s">
        <v>695</v>
      </c>
      <c r="I380" s="3" t="s">
        <v>659</v>
      </c>
      <c r="J380" s="2" t="s">
        <v>780</v>
      </c>
      <c r="K380" s="10">
        <f>ROUND(6008,2)</f>
        <v>6008</v>
      </c>
      <c r="L380" s="4">
        <v>400401</v>
      </c>
      <c r="M380" s="4">
        <v>10864</v>
      </c>
    </row>
    <row r="381" spans="1:13" ht="15.75" x14ac:dyDescent="0.2">
      <c r="A381" s="4" t="s">
        <v>565</v>
      </c>
      <c r="B381" s="4" t="s">
        <v>599</v>
      </c>
      <c r="C381" s="4">
        <v>1</v>
      </c>
      <c r="D381" s="4">
        <v>3529</v>
      </c>
      <c r="E381" s="4" t="s">
        <v>2</v>
      </c>
      <c r="F381" s="8">
        <v>390000</v>
      </c>
      <c r="G381" s="8" t="s">
        <v>664</v>
      </c>
      <c r="H381" s="8" t="s">
        <v>664</v>
      </c>
      <c r="I381" s="3" t="s">
        <v>659</v>
      </c>
      <c r="J381" s="2" t="s">
        <v>724</v>
      </c>
      <c r="K381" s="10">
        <f>ROUND(46523.89,2)</f>
        <v>46523.89</v>
      </c>
      <c r="L381" s="4">
        <v>401600</v>
      </c>
      <c r="M381" s="4">
        <v>11168</v>
      </c>
    </row>
    <row r="382" spans="1:13" ht="15.75" x14ac:dyDescent="0.2">
      <c r="A382" s="4" t="s">
        <v>543</v>
      </c>
      <c r="B382" s="4" t="s">
        <v>597</v>
      </c>
      <c r="C382" s="4">
        <v>1</v>
      </c>
      <c r="D382" s="4">
        <v>5797</v>
      </c>
      <c r="E382" s="4" t="s">
        <v>598</v>
      </c>
      <c r="F382" s="8">
        <v>390000</v>
      </c>
      <c r="G382" s="8" t="s">
        <v>624</v>
      </c>
      <c r="H382" s="8" t="s">
        <v>658</v>
      </c>
      <c r="I382" s="3" t="s">
        <v>659</v>
      </c>
      <c r="J382" s="2" t="s">
        <v>738</v>
      </c>
      <c r="K382" s="10">
        <f>ROUND(17340,2)</f>
        <v>17340</v>
      </c>
      <c r="L382" s="4">
        <v>200123</v>
      </c>
      <c r="M382" s="4">
        <v>12510</v>
      </c>
    </row>
    <row r="383" spans="1:13" ht="15.75" x14ac:dyDescent="0.2">
      <c r="A383" s="4" t="s">
        <v>543</v>
      </c>
      <c r="B383" s="4" t="s">
        <v>542</v>
      </c>
      <c r="C383" s="4">
        <v>1</v>
      </c>
      <c r="D383" s="4">
        <v>13516</v>
      </c>
      <c r="E383" s="4" t="s">
        <v>544</v>
      </c>
      <c r="F383" s="8">
        <v>270000</v>
      </c>
      <c r="G383" s="8" t="s">
        <v>621</v>
      </c>
      <c r="H383" s="8" t="s">
        <v>622</v>
      </c>
      <c r="I383" s="3" t="s">
        <v>619</v>
      </c>
      <c r="J383" s="2" t="s">
        <v>790</v>
      </c>
      <c r="K383" s="10">
        <f>ROUND(7957.5,2)</f>
        <v>7957.5</v>
      </c>
      <c r="L383" s="4">
        <v>402002</v>
      </c>
      <c r="M383" s="4">
        <v>12503</v>
      </c>
    </row>
    <row r="384" spans="1:13" ht="15.75" x14ac:dyDescent="0.2">
      <c r="A384" s="4" t="s">
        <v>543</v>
      </c>
      <c r="B384" s="4" t="s">
        <v>602</v>
      </c>
      <c r="C384" s="4">
        <v>1</v>
      </c>
      <c r="D384" s="4">
        <v>6857</v>
      </c>
      <c r="E384" s="4" t="s">
        <v>603</v>
      </c>
      <c r="F384" s="8">
        <v>270000</v>
      </c>
      <c r="G384" s="8" t="s">
        <v>621</v>
      </c>
      <c r="H384" s="8" t="s">
        <v>622</v>
      </c>
      <c r="I384" s="3" t="s">
        <v>619</v>
      </c>
      <c r="J384" s="2" t="s">
        <v>790</v>
      </c>
      <c r="K384" s="10">
        <f>ROUND(11514.29,2)</f>
        <v>11514.29</v>
      </c>
      <c r="L384" s="4">
        <v>402001</v>
      </c>
      <c r="M384" s="4">
        <v>12503</v>
      </c>
    </row>
    <row r="385" spans="1:13" ht="15.75" x14ac:dyDescent="0.2">
      <c r="A385" s="4" t="s">
        <v>13</v>
      </c>
      <c r="B385" s="4" t="s">
        <v>94</v>
      </c>
      <c r="C385" s="4">
        <v>1</v>
      </c>
      <c r="D385" s="4">
        <v>16538</v>
      </c>
      <c r="E385" s="4" t="s">
        <v>95</v>
      </c>
      <c r="F385" s="8">
        <v>290000</v>
      </c>
      <c r="G385" s="8" t="s">
        <v>636</v>
      </c>
      <c r="H385" s="8" t="s">
        <v>633</v>
      </c>
      <c r="I385" s="3" t="s">
        <v>659</v>
      </c>
      <c r="J385" s="2" t="s">
        <v>798</v>
      </c>
      <c r="K385" s="10">
        <f>ROUND(6240,2)</f>
        <v>6240</v>
      </c>
      <c r="L385" s="4">
        <v>401001</v>
      </c>
      <c r="M385" s="4">
        <v>13234</v>
      </c>
    </row>
    <row r="386" spans="1:13" x14ac:dyDescent="0.2">
      <c r="K386" s="12">
        <f>SUM(K2:K385)</f>
        <v>13928909.350000007</v>
      </c>
    </row>
  </sheetData>
  <autoFilter ref="A1:M386" xr:uid="{00000000-0001-0000-0000-000000000000}"/>
  <sortState xmlns:xlrd2="http://schemas.microsoft.com/office/spreadsheetml/2017/richdata2" ref="A2:L385">
    <sortCondition ref="B2:B385"/>
    <sortCondition ref="C2:C385"/>
  </sortState>
  <pageMargins left="0.25" right="0.25" top="0.25" bottom="0.75" header="0.25" footer="0.2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Lomas</dc:creator>
  <cp:lastModifiedBy>Alison Lomas</cp:lastModifiedBy>
  <dcterms:created xsi:type="dcterms:W3CDTF">2026-01-02T14:48:46Z</dcterms:created>
  <dcterms:modified xsi:type="dcterms:W3CDTF">2026-01-02T15:18:16Z</dcterms:modified>
</cp:coreProperties>
</file>