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cnfps\FinSup\FINANCIAL SYSTEMS &amp; CONTROL\Systems Support and Maintenance Team\500 Spend\+5000 PO Report\2025-26\"/>
    </mc:Choice>
  </mc:AlternateContent>
  <xr:revisionPtr revIDLastSave="0" documentId="13_ncr:1_{203B41ED-F43E-4949-84C6-51F524226C0E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Report" sheetId="1" r:id="rId1"/>
  </sheets>
  <externalReferences>
    <externalReference r:id="rId2"/>
  </externalReferences>
  <definedNames>
    <definedName name="__bookmark_2">Report!$B$1:$L$381</definedName>
    <definedName name="_xlnm._FilterDatabase" localSheetId="0" hidden="1">Report!$A$1:$M$381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7" i="1" l="1"/>
  <c r="F375" i="1"/>
  <c r="F374" i="1"/>
  <c r="F373" i="1"/>
  <c r="F372" i="1"/>
  <c r="F356" i="1"/>
  <c r="F355" i="1"/>
  <c r="F354" i="1"/>
  <c r="F353" i="1"/>
  <c r="F351" i="1"/>
  <c r="F350" i="1"/>
  <c r="F349" i="1"/>
  <c r="F348" i="1"/>
  <c r="F331" i="1"/>
  <c r="F330" i="1"/>
  <c r="F329" i="1"/>
  <c r="F324" i="1"/>
  <c r="F322" i="1"/>
  <c r="F321" i="1"/>
  <c r="F319" i="1"/>
  <c r="F280" i="1"/>
  <c r="F278" i="1"/>
  <c r="F275" i="1"/>
  <c r="F273" i="1"/>
  <c r="F264" i="1"/>
  <c r="F260" i="1"/>
  <c r="F252" i="1"/>
  <c r="F251" i="1"/>
  <c r="F245" i="1"/>
  <c r="F244" i="1"/>
  <c r="F243" i="1"/>
  <c r="F242" i="1"/>
  <c r="F241" i="1"/>
  <c r="F240" i="1"/>
  <c r="F238" i="1"/>
  <c r="F236" i="1"/>
  <c r="F232" i="1"/>
  <c r="F231" i="1"/>
  <c r="F230" i="1"/>
  <c r="F223" i="1"/>
  <c r="F222" i="1"/>
  <c r="F220" i="1"/>
  <c r="F209" i="1"/>
  <c r="F208" i="1"/>
  <c r="F207" i="1"/>
  <c r="F206" i="1"/>
  <c r="F205" i="1"/>
  <c r="F204" i="1"/>
  <c r="F203" i="1"/>
  <c r="F202" i="1"/>
  <c r="F190" i="1"/>
  <c r="F189" i="1"/>
  <c r="F183" i="1"/>
  <c r="F182" i="1"/>
  <c r="F181" i="1"/>
  <c r="F176" i="1"/>
  <c r="F175" i="1"/>
  <c r="F166" i="1"/>
  <c r="F165" i="1"/>
  <c r="F164" i="1"/>
  <c r="F160" i="1"/>
  <c r="F159" i="1"/>
  <c r="F158" i="1"/>
  <c r="F143" i="1"/>
  <c r="F140" i="1"/>
  <c r="F138" i="1"/>
  <c r="F137" i="1"/>
  <c r="F136" i="1"/>
  <c r="F135" i="1"/>
  <c r="F128" i="1"/>
  <c r="F126" i="1"/>
  <c r="F125" i="1"/>
  <c r="F124" i="1"/>
  <c r="F121" i="1"/>
  <c r="F120" i="1"/>
  <c r="F119" i="1"/>
  <c r="F115" i="1"/>
  <c r="F113" i="1"/>
  <c r="F112" i="1"/>
  <c r="F108" i="1"/>
  <c r="F104" i="1"/>
  <c r="F103" i="1"/>
  <c r="F102" i="1"/>
  <c r="F101" i="1"/>
  <c r="F100" i="1"/>
  <c r="F99" i="1"/>
  <c r="F83" i="1"/>
  <c r="F31" i="1"/>
  <c r="F30" i="1"/>
  <c r="F29" i="1"/>
  <c r="F28" i="1"/>
  <c r="F14" i="1"/>
  <c r="K378" i="1"/>
  <c r="K377" i="1"/>
  <c r="K376" i="1"/>
  <c r="K371" i="1"/>
  <c r="K372" i="1"/>
  <c r="K373" i="1"/>
  <c r="K374" i="1"/>
  <c r="K375" i="1"/>
  <c r="K80" i="1"/>
  <c r="K79" i="1"/>
  <c r="K364" i="1"/>
  <c r="K370" i="1"/>
  <c r="K357" i="1"/>
  <c r="K358" i="1"/>
  <c r="K356" i="1"/>
  <c r="K353" i="1"/>
  <c r="K352" i="1"/>
  <c r="K363" i="1"/>
  <c r="K369" i="1"/>
  <c r="K368" i="1"/>
  <c r="K354" i="1"/>
  <c r="K348" i="1"/>
  <c r="K349" i="1"/>
  <c r="K350" i="1"/>
  <c r="K347" i="1"/>
  <c r="K346" i="1"/>
  <c r="K337" i="1"/>
  <c r="K345" i="1"/>
  <c r="K344" i="1"/>
  <c r="K343" i="1"/>
  <c r="K342" i="1"/>
  <c r="K341" i="1"/>
  <c r="K340" i="1"/>
  <c r="K339" i="1"/>
  <c r="K338" i="1"/>
  <c r="K351" i="1"/>
  <c r="K336" i="1"/>
  <c r="K362" i="1"/>
  <c r="K361" i="1"/>
  <c r="K360" i="1"/>
  <c r="K359" i="1"/>
  <c r="K334" i="1"/>
  <c r="K367" i="1"/>
  <c r="K366" i="1"/>
  <c r="K333" i="1"/>
  <c r="K332" i="1"/>
  <c r="K365" i="1"/>
  <c r="K329" i="1"/>
  <c r="K330" i="1"/>
  <c r="K78" i="1"/>
  <c r="K331" i="1"/>
  <c r="K326" i="1"/>
  <c r="K328" i="1"/>
  <c r="K323" i="1"/>
  <c r="K322" i="1"/>
  <c r="K324" i="1"/>
  <c r="K320" i="1"/>
  <c r="K77" i="1"/>
  <c r="K325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327" i="1"/>
  <c r="K76" i="1"/>
  <c r="K291" i="1"/>
  <c r="K295" i="1"/>
  <c r="K31" i="1"/>
  <c r="K321" i="1"/>
  <c r="K75" i="1"/>
  <c r="K294" i="1"/>
  <c r="K290" i="1"/>
  <c r="K38" i="1"/>
  <c r="K37" i="1"/>
  <c r="K36" i="1"/>
  <c r="K22" i="1"/>
  <c r="K21" i="1"/>
  <c r="K20" i="1"/>
  <c r="K19" i="1"/>
  <c r="K18" i="1"/>
  <c r="K288" i="1"/>
  <c r="K45" i="1"/>
  <c r="K44" i="1"/>
  <c r="K43" i="1"/>
  <c r="K42" i="1"/>
  <c r="K41" i="1"/>
  <c r="K40" i="1"/>
  <c r="K39" i="1"/>
  <c r="K355" i="1"/>
  <c r="K293" i="1"/>
  <c r="K292" i="1"/>
  <c r="K67" i="1"/>
  <c r="K335" i="1"/>
  <c r="K286" i="1"/>
  <c r="K281" i="1"/>
  <c r="K282" i="1"/>
  <c r="K285" i="1"/>
  <c r="K283" i="1"/>
  <c r="K74" i="1"/>
  <c r="K73" i="1"/>
  <c r="K72" i="1"/>
  <c r="K71" i="1"/>
  <c r="K70" i="1"/>
  <c r="K69" i="1"/>
  <c r="K68" i="1"/>
  <c r="K284" i="1"/>
  <c r="K287" i="1"/>
  <c r="K276" i="1"/>
  <c r="K275" i="1"/>
  <c r="K274" i="1"/>
  <c r="K277" i="1"/>
  <c r="K64" i="1"/>
  <c r="K30" i="1"/>
  <c r="K272" i="1"/>
  <c r="K267" i="1"/>
  <c r="K264" i="1"/>
  <c r="K63" i="1"/>
  <c r="K273" i="1"/>
  <c r="K266" i="1"/>
  <c r="K278" i="1"/>
  <c r="K265" i="1"/>
  <c r="K62" i="1"/>
  <c r="K35" i="1"/>
  <c r="K260" i="1"/>
  <c r="K66" i="1"/>
  <c r="K65" i="1"/>
  <c r="K17" i="1"/>
  <c r="K48" i="1"/>
  <c r="K251" i="1"/>
  <c r="K47" i="1"/>
  <c r="K29" i="1"/>
  <c r="K279" i="1"/>
  <c r="K280" i="1"/>
  <c r="K250" i="1"/>
  <c r="K249" i="1"/>
  <c r="K248" i="1"/>
  <c r="K247" i="1"/>
  <c r="K246" i="1"/>
  <c r="K242" i="1"/>
  <c r="K252" i="1"/>
  <c r="K243" i="1"/>
  <c r="K241" i="1"/>
  <c r="K262" i="1"/>
  <c r="K263" i="1"/>
  <c r="K244" i="1"/>
  <c r="K245" i="1"/>
  <c r="K238" i="1"/>
  <c r="K61" i="1"/>
  <c r="K236" i="1"/>
  <c r="K237" i="1"/>
  <c r="K234" i="1"/>
  <c r="K269" i="1"/>
  <c r="K270" i="1"/>
  <c r="K268" i="1"/>
  <c r="K239" i="1"/>
  <c r="K233" i="1"/>
  <c r="K259" i="1"/>
  <c r="K258" i="1"/>
  <c r="K257" i="1"/>
  <c r="K256" i="1"/>
  <c r="K255" i="1"/>
  <c r="K254" i="1"/>
  <c r="K289" i="1"/>
  <c r="K220" i="1"/>
  <c r="K223" i="1"/>
  <c r="K221" i="1"/>
  <c r="K271" i="1"/>
  <c r="K219" i="1"/>
  <c r="K229" i="1"/>
  <c r="K228" i="1"/>
  <c r="K227" i="1"/>
  <c r="K222" i="1"/>
  <c r="K46" i="1"/>
  <c r="K261" i="1"/>
  <c r="K230" i="1"/>
  <c r="K231" i="1"/>
  <c r="K232" i="1"/>
  <c r="K60" i="1"/>
  <c r="K218" i="1"/>
  <c r="K224" i="1"/>
  <c r="K240" i="1"/>
  <c r="K16" i="1"/>
  <c r="K59" i="1"/>
  <c r="K225" i="1"/>
  <c r="K213" i="1"/>
  <c r="K212" i="1"/>
  <c r="K214" i="1"/>
  <c r="K235" i="1"/>
  <c r="K210" i="1"/>
  <c r="K28" i="1"/>
  <c r="K209" i="1"/>
  <c r="K208" i="1"/>
  <c r="K207" i="1"/>
  <c r="K206" i="1"/>
  <c r="K205" i="1"/>
  <c r="K204" i="1"/>
  <c r="K203" i="1"/>
  <c r="K202" i="1"/>
  <c r="K15" i="1"/>
  <c r="K58" i="1"/>
  <c r="K200" i="1"/>
  <c r="K57" i="1"/>
  <c r="K189" i="1"/>
  <c r="K190" i="1"/>
  <c r="K13" i="1"/>
  <c r="K12" i="1"/>
  <c r="K11" i="1"/>
  <c r="K10" i="1"/>
  <c r="K199" i="1"/>
  <c r="K198" i="1"/>
  <c r="K197" i="1"/>
  <c r="K196" i="1"/>
  <c r="K195" i="1"/>
  <c r="K194" i="1"/>
  <c r="K193" i="1"/>
  <c r="K192" i="1"/>
  <c r="K191" i="1"/>
  <c r="K211" i="1"/>
  <c r="K188" i="1"/>
  <c r="K217" i="1"/>
  <c r="K216" i="1"/>
  <c r="K215" i="1"/>
  <c r="K14" i="1"/>
  <c r="K183" i="1"/>
  <c r="K9" i="1"/>
  <c r="K8" i="1"/>
  <c r="K7" i="1"/>
  <c r="K181" i="1"/>
  <c r="K182" i="1"/>
  <c r="K176" i="1"/>
  <c r="K178" i="1"/>
  <c r="K177" i="1"/>
  <c r="K175" i="1"/>
  <c r="K179" i="1"/>
  <c r="K186" i="1"/>
  <c r="K185" i="1"/>
  <c r="K184" i="1"/>
  <c r="K226" i="1"/>
  <c r="K381" i="1"/>
  <c r="K380" i="1"/>
  <c r="K379" i="1"/>
  <c r="K201" i="1"/>
  <c r="K167" i="1"/>
  <c r="K172" i="1"/>
  <c r="K171" i="1"/>
  <c r="K170" i="1"/>
  <c r="K169" i="1"/>
  <c r="K187" i="1"/>
  <c r="K173" i="1"/>
  <c r="K32" i="1"/>
  <c r="K160" i="1"/>
  <c r="K159" i="1"/>
  <c r="K164" i="1"/>
  <c r="K161" i="1"/>
  <c r="K158" i="1"/>
  <c r="K165" i="1"/>
  <c r="K156" i="1"/>
  <c r="K166" i="1"/>
  <c r="K174" i="1"/>
  <c r="K157" i="1"/>
  <c r="K155" i="1"/>
  <c r="K154" i="1"/>
  <c r="K153" i="1"/>
  <c r="K152" i="1"/>
  <c r="K151" i="1"/>
  <c r="K143" i="1"/>
  <c r="K140" i="1"/>
  <c r="K138" i="1"/>
  <c r="K139" i="1"/>
  <c r="K142" i="1"/>
  <c r="K141" i="1"/>
  <c r="K137" i="1"/>
  <c r="K148" i="1"/>
  <c r="K147" i="1"/>
  <c r="K150" i="1"/>
  <c r="K149" i="1"/>
  <c r="K134" i="1"/>
  <c r="K136" i="1"/>
  <c r="K162" i="1"/>
  <c r="K133" i="1"/>
  <c r="K132" i="1"/>
  <c r="K131" i="1"/>
  <c r="K130" i="1"/>
  <c r="K129" i="1"/>
  <c r="K168" i="1"/>
  <c r="K128" i="1"/>
  <c r="K127" i="1"/>
  <c r="K56" i="1"/>
  <c r="K55" i="1"/>
  <c r="K121" i="1"/>
  <c r="K120" i="1"/>
  <c r="K119" i="1"/>
  <c r="K118" i="1"/>
  <c r="K117" i="1"/>
  <c r="K116" i="1"/>
  <c r="K122" i="1"/>
  <c r="K144" i="1"/>
  <c r="K145" i="1"/>
  <c r="K146" i="1"/>
  <c r="K6" i="1"/>
  <c r="K5" i="1"/>
  <c r="K4" i="1"/>
  <c r="K3" i="1"/>
  <c r="K2" i="1"/>
  <c r="K109" i="1"/>
  <c r="K124" i="1"/>
  <c r="K105" i="1"/>
  <c r="K106" i="1"/>
  <c r="K107" i="1"/>
  <c r="K180" i="1"/>
  <c r="K110" i="1"/>
  <c r="K103" i="1"/>
  <c r="K135" i="1"/>
  <c r="K33" i="1"/>
  <c r="K53" i="1"/>
  <c r="K108" i="1"/>
  <c r="K51" i="1"/>
  <c r="K253" i="1"/>
  <c r="K100" i="1"/>
  <c r="K114" i="1"/>
  <c r="K112" i="1"/>
  <c r="K34" i="1"/>
  <c r="K27" i="1"/>
  <c r="K104" i="1"/>
  <c r="K111" i="1"/>
  <c r="K163" i="1"/>
  <c r="K101" i="1"/>
  <c r="K54" i="1"/>
  <c r="K99" i="1"/>
  <c r="K98" i="1"/>
  <c r="K52" i="1"/>
  <c r="K96" i="1"/>
  <c r="K115" i="1"/>
  <c r="K95" i="1"/>
  <c r="K50" i="1"/>
  <c r="K102" i="1"/>
  <c r="K90" i="1"/>
  <c r="K91" i="1"/>
  <c r="K89" i="1"/>
  <c r="K87" i="1"/>
  <c r="K86" i="1"/>
  <c r="K85" i="1"/>
  <c r="K83" i="1"/>
  <c r="K82" i="1"/>
  <c r="K26" i="1"/>
  <c r="K25" i="1"/>
  <c r="K24" i="1"/>
  <c r="K23" i="1"/>
  <c r="K92" i="1"/>
  <c r="K49" i="1"/>
  <c r="K125" i="1"/>
  <c r="K81" i="1"/>
  <c r="K94" i="1"/>
  <c r="K126" i="1"/>
  <c r="K93" i="1"/>
  <c r="K123" i="1"/>
  <c r="K84" i="1"/>
  <c r="K97" i="1"/>
  <c r="K88" i="1"/>
  <c r="K113" i="1"/>
</calcChain>
</file>

<file path=xl/sharedStrings.xml><?xml version="1.0" encoding="utf-8"?>
<sst xmlns="http://schemas.openxmlformats.org/spreadsheetml/2006/main" count="2745" uniqueCount="722">
  <si>
    <t>18/07/2025</t>
  </si>
  <si>
    <t>01/07/2025</t>
  </si>
  <si>
    <t>ZZH758463</t>
  </si>
  <si>
    <t>14/07/2025</t>
  </si>
  <si>
    <t>AtkinsRéalis UK Limited</t>
  </si>
  <si>
    <t>C.01782.201</t>
  </si>
  <si>
    <t>03/07/2025</t>
  </si>
  <si>
    <t>04/07/2025</t>
  </si>
  <si>
    <t>10/07/2025</t>
  </si>
  <si>
    <t>Civica UK Ltd</t>
  </si>
  <si>
    <t>02/07/2025</t>
  </si>
  <si>
    <t>ZZH757983</t>
  </si>
  <si>
    <t>Totally Local Company Ltd</t>
  </si>
  <si>
    <t>08/07/2025</t>
  </si>
  <si>
    <t>14/08/2025</t>
  </si>
  <si>
    <t>CBC Computer Systems Ltd</t>
  </si>
  <si>
    <t>ZZH758178</t>
  </si>
  <si>
    <t>Tile Hill Interim &amp; Executive</t>
  </si>
  <si>
    <t>ZZH757963</t>
  </si>
  <si>
    <t>Mellor Academy</t>
  </si>
  <si>
    <t>07/07/2025</t>
  </si>
  <si>
    <t>ZZH758548</t>
  </si>
  <si>
    <t>15/07/2025</t>
  </si>
  <si>
    <t>Stockport NHS Foundation Trust</t>
  </si>
  <si>
    <t>24/07/2025</t>
  </si>
  <si>
    <t>SMBC Client account</t>
  </si>
  <si>
    <t>ZZH758046</t>
  </si>
  <si>
    <t>CBRE Limited</t>
  </si>
  <si>
    <t>The Dodd Group</t>
  </si>
  <si>
    <t>ZZH758562</t>
  </si>
  <si>
    <t>Constellia Public Limited</t>
  </si>
  <si>
    <t>C.11440</t>
  </si>
  <si>
    <t>11/07/2025</t>
  </si>
  <si>
    <t>ZZH758055</t>
  </si>
  <si>
    <t>Access UK Ltd</t>
  </si>
  <si>
    <t>ZZH757921</t>
  </si>
  <si>
    <t>Hubken Group Ltd</t>
  </si>
  <si>
    <t>Three Sixty SHG Ltd</t>
  </si>
  <si>
    <t>C.11006.001</t>
  </si>
  <si>
    <t>ZZH758560</t>
  </si>
  <si>
    <t>Reflex Systems Limited</t>
  </si>
  <si>
    <t>Stockport County 2010 Ltd</t>
  </si>
  <si>
    <t>Pure Innovations Ltd</t>
  </si>
  <si>
    <t>ZZC758060</t>
  </si>
  <si>
    <t>Aspire Therapy Services Ltd</t>
  </si>
  <si>
    <t>ZZH758045</t>
  </si>
  <si>
    <t>Howard Lynn Property Ltd</t>
  </si>
  <si>
    <t>Normans(Burton Upon Trent)Ltd</t>
  </si>
  <si>
    <t>ZFC757943</t>
  </si>
  <si>
    <t>St Marks CE Primary (Academy)</t>
  </si>
  <si>
    <t>ZFC757948</t>
  </si>
  <si>
    <t>ZZH757957</t>
  </si>
  <si>
    <t>Kainos Software Ltd (DfT)</t>
  </si>
  <si>
    <t>ZZH757962</t>
  </si>
  <si>
    <t>Edge Analytics Ltd</t>
  </si>
  <si>
    <t>C.11094.100</t>
  </si>
  <si>
    <t>Wilkinson Cowan Partnership Lt</t>
  </si>
  <si>
    <t>ZZH757978</t>
  </si>
  <si>
    <t>Brabners Office Account</t>
  </si>
  <si>
    <t>Phoenix Software Ltd</t>
  </si>
  <si>
    <t>09/07/2025</t>
  </si>
  <si>
    <t>25/07/2025</t>
  </si>
  <si>
    <t>21/07/2025</t>
  </si>
  <si>
    <t>ZZH758003</t>
  </si>
  <si>
    <t>North West Employers</t>
  </si>
  <si>
    <t>ZZH758025</t>
  </si>
  <si>
    <t>Age UK Stockport</t>
  </si>
  <si>
    <t>ZZH758024</t>
  </si>
  <si>
    <t>Stockport Homes</t>
  </si>
  <si>
    <t>ZZH758299</t>
  </si>
  <si>
    <t>United Utilities/Diversiona</t>
  </si>
  <si>
    <t>C.01622.202</t>
  </si>
  <si>
    <t>Tiptoes Child Therapy Services</t>
  </si>
  <si>
    <t>One Education Ltd</t>
  </si>
  <si>
    <t>Held Health Limited</t>
  </si>
  <si>
    <t>ZZC758076</t>
  </si>
  <si>
    <t>CCS Adoption</t>
  </si>
  <si>
    <t>Pearson Education Limited</t>
  </si>
  <si>
    <t>Getech</t>
  </si>
  <si>
    <t>Trafford Council</t>
  </si>
  <si>
    <t>ZZH758166</t>
  </si>
  <si>
    <t>Cromwell Polythene Limited</t>
  </si>
  <si>
    <t>ZZH758482</t>
  </si>
  <si>
    <t>GEORGE COX &amp; SONS LTD</t>
  </si>
  <si>
    <t>C.01648.203</t>
  </si>
  <si>
    <t>Marwood Electrical Company Ltd</t>
  </si>
  <si>
    <t>ZZH758170</t>
  </si>
  <si>
    <t>MetDesk Limited</t>
  </si>
  <si>
    <t>01/08/2025</t>
  </si>
  <si>
    <t>IRIS Software Limited</t>
  </si>
  <si>
    <t>Flowbird Smart City UK Limited</t>
  </si>
  <si>
    <t>ZZC758386</t>
  </si>
  <si>
    <t>ADOPTION MATTERS NORTHWEST</t>
  </si>
  <si>
    <t>EDF ENERGY - Large Accounts</t>
  </si>
  <si>
    <t>ZZH758213</t>
  </si>
  <si>
    <t>ZZH758249</t>
  </si>
  <si>
    <t>David Trowler Associates</t>
  </si>
  <si>
    <t>C.11502.131</t>
  </si>
  <si>
    <t>Cheshire East Borough Council.</t>
  </si>
  <si>
    <t>ZZC758547</t>
  </si>
  <si>
    <t>Link Maker Systems Ltd.</t>
  </si>
  <si>
    <t>ZZH758298</t>
  </si>
  <si>
    <t>Tarmac Trading Ltd</t>
  </si>
  <si>
    <t>C.01623.203</t>
  </si>
  <si>
    <t>ZZH758799</t>
  </si>
  <si>
    <t>Millercare Ltd</t>
  </si>
  <si>
    <t>ZZH758442</t>
  </si>
  <si>
    <t>Team Teach Ltd</t>
  </si>
  <si>
    <t>AKW Medi Care Ltd</t>
  </si>
  <si>
    <t>ZZH758343</t>
  </si>
  <si>
    <t>C.01511.203</t>
  </si>
  <si>
    <t>ZFC758402</t>
  </si>
  <si>
    <t>OCS Group UK Limited</t>
  </si>
  <si>
    <t>ZSB758363</t>
  </si>
  <si>
    <t>ZZH758454</t>
  </si>
  <si>
    <t>Wilde Consultants Ltd</t>
  </si>
  <si>
    <t>C.01177</t>
  </si>
  <si>
    <t>ZZH758475</t>
  </si>
  <si>
    <t>CoramBAAF</t>
  </si>
  <si>
    <t>ZZH758297</t>
  </si>
  <si>
    <t>FW Sherratt Ltd</t>
  </si>
  <si>
    <t>C.01719.202</t>
  </si>
  <si>
    <t>17/07/2025</t>
  </si>
  <si>
    <t>ZZH759918</t>
  </si>
  <si>
    <t>20/08/2025</t>
  </si>
  <si>
    <t>The Manchester College (MANCAT</t>
  </si>
  <si>
    <t>ZZC758322</t>
  </si>
  <si>
    <t>MANCHESTER DEAF CENTRE LTD</t>
  </si>
  <si>
    <t>Starting Point Community Learn</t>
  </si>
  <si>
    <t>ZZH758382</t>
  </si>
  <si>
    <t>C.01753.203</t>
  </si>
  <si>
    <t>ZZC758546</t>
  </si>
  <si>
    <t>North Ayrshire Council</t>
  </si>
  <si>
    <t>ZSB758358</t>
  </si>
  <si>
    <t>ZZH758626</t>
  </si>
  <si>
    <t>16/07/2025</t>
  </si>
  <si>
    <t>C.01747.203</t>
  </si>
  <si>
    <t>ZZH758342</t>
  </si>
  <si>
    <t>J HOPKINS (CONTRACTORS) LTD</t>
  </si>
  <si>
    <t>ZZH758413</t>
  </si>
  <si>
    <t>Divelight Limited</t>
  </si>
  <si>
    <t>ZZH758942</t>
  </si>
  <si>
    <t>Sector 3 Stockport</t>
  </si>
  <si>
    <t>ZZH758381</t>
  </si>
  <si>
    <t>STOCKPORT WITHOUT ABUSE</t>
  </si>
  <si>
    <t>ZZH758380</t>
  </si>
  <si>
    <t>ZZH758377</t>
  </si>
  <si>
    <t>ZZH758559</t>
  </si>
  <si>
    <t>ZZH758404</t>
  </si>
  <si>
    <t>ZAV758552</t>
  </si>
  <si>
    <t>ZZH758703</t>
  </si>
  <si>
    <t>THE WELLSPRING (STOCKPO</t>
  </si>
  <si>
    <t>ZZH758702</t>
  </si>
  <si>
    <t>ZZH758701</t>
  </si>
  <si>
    <t>ZZH758525</t>
  </si>
  <si>
    <t>ZZH758484</t>
  </si>
  <si>
    <t>Pragmatism (UK) Ltd</t>
  </si>
  <si>
    <t>ZZH758490</t>
  </si>
  <si>
    <t>ZZH758492</t>
  </si>
  <si>
    <t>28/07/2025</t>
  </si>
  <si>
    <t>ZZH758505</t>
  </si>
  <si>
    <t>C.10353.250</t>
  </si>
  <si>
    <t>ZZH758520</t>
  </si>
  <si>
    <t>W H Good Ltd</t>
  </si>
  <si>
    <t>C.10338.109</t>
  </si>
  <si>
    <t>ZZH758521</t>
  </si>
  <si>
    <t>A COPELAND ELECTRICAL</t>
  </si>
  <si>
    <t>C.10342.107</t>
  </si>
  <si>
    <t>Safe and Secure Solutions Ltd</t>
  </si>
  <si>
    <t>C.11504.013</t>
  </si>
  <si>
    <t>University of Manchester</t>
  </si>
  <si>
    <t>ZZC758589</t>
  </si>
  <si>
    <t>ZZH758576</t>
  </si>
  <si>
    <t>ZZH758577</t>
  </si>
  <si>
    <t>PowersUK Ltd</t>
  </si>
  <si>
    <t>C.10996.130</t>
  </si>
  <si>
    <t>ZZH758872</t>
  </si>
  <si>
    <t>22/07/2025</t>
  </si>
  <si>
    <t>Allison Sandiford</t>
  </si>
  <si>
    <t>C.11528.100</t>
  </si>
  <si>
    <t>ZZH758582</t>
  </si>
  <si>
    <t>ZZH758798</t>
  </si>
  <si>
    <t>WSP GROUP PLC</t>
  </si>
  <si>
    <t>ZZH758640</t>
  </si>
  <si>
    <t>J Freeley Ltd</t>
  </si>
  <si>
    <t>C.11096.235</t>
  </si>
  <si>
    <t>ZZH758594</t>
  </si>
  <si>
    <t>ZZH758728</t>
  </si>
  <si>
    <t>ZZH758727</t>
  </si>
  <si>
    <t>12/08/2025</t>
  </si>
  <si>
    <t>ZZH758665</t>
  </si>
  <si>
    <t>Truline Construction &amp; Interio</t>
  </si>
  <si>
    <t>ZZH758687</t>
  </si>
  <si>
    <t>The Knowledge Academy</t>
  </si>
  <si>
    <t>ZZH758675</t>
  </si>
  <si>
    <t>Tameside MBC</t>
  </si>
  <si>
    <t>ZZH758671</t>
  </si>
  <si>
    <t>Penketh Group</t>
  </si>
  <si>
    <t>C.10971.001</t>
  </si>
  <si>
    <t>ZZH758676</t>
  </si>
  <si>
    <t>Olton Investigations Ltd</t>
  </si>
  <si>
    <t>C.01741.202</t>
  </si>
  <si>
    <t>ZZH758688</t>
  </si>
  <si>
    <t>ZZH758730</t>
  </si>
  <si>
    <t>23/07/2025</t>
  </si>
  <si>
    <t>30/07/2025</t>
  </si>
  <si>
    <t>ZZH758762</t>
  </si>
  <si>
    <t>The Laurus Trust (Cheadle Hulm</t>
  </si>
  <si>
    <t>Pennine Care NHS Trust</t>
  </si>
  <si>
    <t>ZZH758895</t>
  </si>
  <si>
    <t>Signet Trading Ltd</t>
  </si>
  <si>
    <t>06/08/2025</t>
  </si>
  <si>
    <t>ZZH758832</t>
  </si>
  <si>
    <t>THE BROWN RURAL PARTNERSHIP</t>
  </si>
  <si>
    <t>C.01325.001</t>
  </si>
  <si>
    <t>ZZH758740</t>
  </si>
  <si>
    <t>TROJAN CONSULTANTS LTD</t>
  </si>
  <si>
    <t>ZZH758801</t>
  </si>
  <si>
    <t>OFR Consultants Limited</t>
  </si>
  <si>
    <t>C.11021.002</t>
  </si>
  <si>
    <t>ZZH758775</t>
  </si>
  <si>
    <t>C.10425.164</t>
  </si>
  <si>
    <t>ZZH758797</t>
  </si>
  <si>
    <t>Permiserv Limited</t>
  </si>
  <si>
    <t>ZZH758800</t>
  </si>
  <si>
    <t>ZZH758788</t>
  </si>
  <si>
    <t>GREATER MANCHESTER POLICE AUTH</t>
  </si>
  <si>
    <t>ZZH758791</t>
  </si>
  <si>
    <t>AP Mitchell Group</t>
  </si>
  <si>
    <t>C.10309.250</t>
  </si>
  <si>
    <t>ZMH758890</t>
  </si>
  <si>
    <t>Elementary Technology Ltd</t>
  </si>
  <si>
    <t>ZZH758893</t>
  </si>
  <si>
    <t>A Pacini Ltd</t>
  </si>
  <si>
    <t>ZZH758999</t>
  </si>
  <si>
    <t>Participation People</t>
  </si>
  <si>
    <t>LK Consult Ltd</t>
  </si>
  <si>
    <t>ZZH758885</t>
  </si>
  <si>
    <t>ZZH758843</t>
  </si>
  <si>
    <t>ZZH759134</t>
  </si>
  <si>
    <t>29/07/2025</t>
  </si>
  <si>
    <t>ZZP758912</t>
  </si>
  <si>
    <t>FUTURE EVERYTHING CIC</t>
  </si>
  <si>
    <t>ZZH759471</t>
  </si>
  <si>
    <t>07/08/2025</t>
  </si>
  <si>
    <t>British Red Cross Society</t>
  </si>
  <si>
    <t>ZZH758970</t>
  </si>
  <si>
    <t>UK Container Maintenance Ltd</t>
  </si>
  <si>
    <t>ZZH758941</t>
  </si>
  <si>
    <t>System One Travel</t>
  </si>
  <si>
    <t>ZZH758913</t>
  </si>
  <si>
    <t>C.10297.164</t>
  </si>
  <si>
    <t>Big Blue Door Limited</t>
  </si>
  <si>
    <t>ZZH758936</t>
  </si>
  <si>
    <t>Broxap Ltd</t>
  </si>
  <si>
    <t>ZZH758914</t>
  </si>
  <si>
    <t>C.10396.164</t>
  </si>
  <si>
    <t>ZZH758944</t>
  </si>
  <si>
    <t>Dynamic FM Ltd</t>
  </si>
  <si>
    <t>C.10332.107</t>
  </si>
  <si>
    <t>ZZH758943</t>
  </si>
  <si>
    <t>C.10331.107</t>
  </si>
  <si>
    <t>ZAV758961</t>
  </si>
  <si>
    <t>ZZH758963</t>
  </si>
  <si>
    <t>C.10296.164</t>
  </si>
  <si>
    <t>11/09/2025</t>
  </si>
  <si>
    <t>ZES759003</t>
  </si>
  <si>
    <t>European Electronique Ltd</t>
  </si>
  <si>
    <t>C.11526.100</t>
  </si>
  <si>
    <t>ZZH759296</t>
  </si>
  <si>
    <t>MPH INSPECTION SERVICES</t>
  </si>
  <si>
    <t>ZZH759060</t>
  </si>
  <si>
    <t>East Sussex County Council</t>
  </si>
  <si>
    <t>ZZH759178</t>
  </si>
  <si>
    <t>MHR International (UK) Limited</t>
  </si>
  <si>
    <t>Stockport Active CIC</t>
  </si>
  <si>
    <t>ZZH759082</t>
  </si>
  <si>
    <t>Topsy House Madeleine Ruth Kau</t>
  </si>
  <si>
    <t>ZAV759069</t>
  </si>
  <si>
    <t>AlphaBiolabs</t>
  </si>
  <si>
    <t>ZZH759079</t>
  </si>
  <si>
    <t>Liquid Roofing Ltd</t>
  </si>
  <si>
    <t>C.10334.109</t>
  </si>
  <si>
    <t>ZZH759077</t>
  </si>
  <si>
    <t>ZZC759092</t>
  </si>
  <si>
    <t>ZZH759105</t>
  </si>
  <si>
    <t>Greater Manchester Combined Au</t>
  </si>
  <si>
    <t>ZZC759109</t>
  </si>
  <si>
    <t>04/08/2025</t>
  </si>
  <si>
    <t>ZES759130</t>
  </si>
  <si>
    <t>CDW Ltd</t>
  </si>
  <si>
    <t>ZZH759148</t>
  </si>
  <si>
    <t>C.01632.201</t>
  </si>
  <si>
    <t>02/09/2025</t>
  </si>
  <si>
    <t>ZFC759155</t>
  </si>
  <si>
    <t>RS Asbestos Ltd</t>
  </si>
  <si>
    <t>ZZH759172</t>
  </si>
  <si>
    <t>Better Communications CIC</t>
  </si>
  <si>
    <t>ZZH759682</t>
  </si>
  <si>
    <t>13/08/2025</t>
  </si>
  <si>
    <t>Gala Lights Ltd</t>
  </si>
  <si>
    <t>19/08/2025</t>
  </si>
  <si>
    <t>C.01740.202</t>
  </si>
  <si>
    <t>ZZH759294</t>
  </si>
  <si>
    <t>05/08/2025</t>
  </si>
  <si>
    <t>ZZH759197</t>
  </si>
  <si>
    <t>Emap Publishing Limited</t>
  </si>
  <si>
    <t>ZZH759465</t>
  </si>
  <si>
    <t>ZZC759202</t>
  </si>
  <si>
    <t>ZES759275</t>
  </si>
  <si>
    <t>ZZH759767</t>
  </si>
  <si>
    <t>18/08/2025</t>
  </si>
  <si>
    <t>ZZH759462</t>
  </si>
  <si>
    <t>ZZH759331</t>
  </si>
  <si>
    <t>ZZC759357</t>
  </si>
  <si>
    <t>Parents and Children Together</t>
  </si>
  <si>
    <t>ZZH759493</t>
  </si>
  <si>
    <t>C.01738.202</t>
  </si>
  <si>
    <t>ZZH759492</t>
  </si>
  <si>
    <t>C.01739.202</t>
  </si>
  <si>
    <t>ZZH759491</t>
  </si>
  <si>
    <t>C.11086</t>
  </si>
  <si>
    <t>ZZH759980</t>
  </si>
  <si>
    <t>22/08/2025</t>
  </si>
  <si>
    <t>Research in Practice</t>
  </si>
  <si>
    <t>ZTR759371</t>
  </si>
  <si>
    <t>Barbour Logic Ltd</t>
  </si>
  <si>
    <t>ZZH759450</t>
  </si>
  <si>
    <t>C.01752.203</t>
  </si>
  <si>
    <t>15/08/2025</t>
  </si>
  <si>
    <t>ZZH759482</t>
  </si>
  <si>
    <t>ZZH759391</t>
  </si>
  <si>
    <t>Train to TEFL</t>
  </si>
  <si>
    <t>ZZH760121</t>
  </si>
  <si>
    <t>27/08/2025</t>
  </si>
  <si>
    <t>Bond Solon Training Ltd</t>
  </si>
  <si>
    <t>ZZH759449</t>
  </si>
  <si>
    <t>Post Office Limited</t>
  </si>
  <si>
    <t>ZZH759453</t>
  </si>
  <si>
    <t>GABLES (UK) LTD</t>
  </si>
  <si>
    <t>C.10396.209</t>
  </si>
  <si>
    <t>ZZH759445</t>
  </si>
  <si>
    <t>C.10373.309</t>
  </si>
  <si>
    <t>ZZH760490</t>
  </si>
  <si>
    <t>05/09/2025</t>
  </si>
  <si>
    <t>ZZH759942</t>
  </si>
  <si>
    <t>CBRE Ltd Client A/C Common Rec</t>
  </si>
  <si>
    <t>Lancashire County Council</t>
  </si>
  <si>
    <t>ZZH759632</t>
  </si>
  <si>
    <t>ZZH759765</t>
  </si>
  <si>
    <t>Oxygen Finance Limited</t>
  </si>
  <si>
    <t>03/09/2025</t>
  </si>
  <si>
    <t>ZZH760118</t>
  </si>
  <si>
    <t>One Advanced Limited</t>
  </si>
  <si>
    <t>ZZH760120</t>
  </si>
  <si>
    <t>ZZH760119</t>
  </si>
  <si>
    <t>ZZH759666</t>
  </si>
  <si>
    <t>ZZH759726</t>
  </si>
  <si>
    <t>ZZH759706</t>
  </si>
  <si>
    <t>C.01715.202</t>
  </si>
  <si>
    <t>ZZC759724</t>
  </si>
  <si>
    <t>ZZH759734</t>
  </si>
  <si>
    <t>08/09/2025</t>
  </si>
  <si>
    <t>ZZH759814</t>
  </si>
  <si>
    <t>4 Global Consulting Ltd</t>
  </si>
  <si>
    <t>C.11525.100</t>
  </si>
  <si>
    <t>ZZH759807</t>
  </si>
  <si>
    <t>C.00950.203</t>
  </si>
  <si>
    <t>ZZH760019</t>
  </si>
  <si>
    <t>26/08/2025</t>
  </si>
  <si>
    <t>ZZH760018</t>
  </si>
  <si>
    <t>ZZH759790</t>
  </si>
  <si>
    <t>C.01671.203</t>
  </si>
  <si>
    <t>09/09/2025</t>
  </si>
  <si>
    <t>01/09/2025</t>
  </si>
  <si>
    <t>ZZH759806</t>
  </si>
  <si>
    <t>ZZH759876</t>
  </si>
  <si>
    <t>ZZH759802</t>
  </si>
  <si>
    <t>C.01646.203</t>
  </si>
  <si>
    <t>Attachment Works</t>
  </si>
  <si>
    <t>ZZH759852</t>
  </si>
  <si>
    <t>SEP2 Limited</t>
  </si>
  <si>
    <t>ZZH760251</t>
  </si>
  <si>
    <t>LK Remediate Limited</t>
  </si>
  <si>
    <t>21/08/2025</t>
  </si>
  <si>
    <t>ZZH760250</t>
  </si>
  <si>
    <t>ZHS759871</t>
  </si>
  <si>
    <t>C.10945.002</t>
  </si>
  <si>
    <t>ZTR759860</t>
  </si>
  <si>
    <t>ZZH759874</t>
  </si>
  <si>
    <t>Black Cat Building Consultancy</t>
  </si>
  <si>
    <t>C.10387.207</t>
  </si>
  <si>
    <t>ZTR759878</t>
  </si>
  <si>
    <t>Chipside Limited</t>
  </si>
  <si>
    <t>JR Foy and Son Ltd</t>
  </si>
  <si>
    <t>ZES759941</t>
  </si>
  <si>
    <t>ZZC760280</t>
  </si>
  <si>
    <t>04/09/2025</t>
  </si>
  <si>
    <t>ZZH759950</t>
  </si>
  <si>
    <t>Bethell Construction Ltd</t>
  </si>
  <si>
    <t>C.01784.203</t>
  </si>
  <si>
    <t>Skills and Education Group Awa</t>
  </si>
  <si>
    <t>ZSB759960</t>
  </si>
  <si>
    <t>ZZC759970</t>
  </si>
  <si>
    <t>ZZH760035</t>
  </si>
  <si>
    <t>28/08/2025</t>
  </si>
  <si>
    <t>ZZH760247</t>
  </si>
  <si>
    <t>NWAS NHS Trust</t>
  </si>
  <si>
    <t>C.10976.009</t>
  </si>
  <si>
    <t>ZZH760059</t>
  </si>
  <si>
    <t>ZZH760132</t>
  </si>
  <si>
    <t>C.01639.203</t>
  </si>
  <si>
    <t>ZZC760012</t>
  </si>
  <si>
    <t>ZZH760023</t>
  </si>
  <si>
    <t>Bancroft Amenities Ltd</t>
  </si>
  <si>
    <t>C.10335.118</t>
  </si>
  <si>
    <t>ZZH760115</t>
  </si>
  <si>
    <t>THE HOUSING OMBUDSMAN</t>
  </si>
  <si>
    <t>ZZH760123</t>
  </si>
  <si>
    <t>Lightbulb EMDR Ltd (Kathryn Le</t>
  </si>
  <si>
    <t>ZHS760113</t>
  </si>
  <si>
    <t>Reheat (Renewable Technologies</t>
  </si>
  <si>
    <t>C.11613.024</t>
  </si>
  <si>
    <t>29/08/2025</t>
  </si>
  <si>
    <t>ZZC760199</t>
  </si>
  <si>
    <t>ROGER HANNAH &amp;CO (Legal Fees)</t>
  </si>
  <si>
    <t>ZZH760236</t>
  </si>
  <si>
    <t>23/09/2025</t>
  </si>
  <si>
    <t>ZZH760167</t>
  </si>
  <si>
    <t>Norwest Plant</t>
  </si>
  <si>
    <t>ZZH760190</t>
  </si>
  <si>
    <t>DESIGNED ROOF SYSTEMS LTD</t>
  </si>
  <si>
    <t>C.10338.166</t>
  </si>
  <si>
    <t>ZZH760196</t>
  </si>
  <si>
    <t>Halestone Restoration LTD</t>
  </si>
  <si>
    <t>C.11508.003</t>
  </si>
  <si>
    <t>C.11508.004</t>
  </si>
  <si>
    <t>ZZH760463</t>
  </si>
  <si>
    <t>ZZH760270</t>
  </si>
  <si>
    <t>ZZC760415</t>
  </si>
  <si>
    <t>ZZH760269</t>
  </si>
  <si>
    <t>ZZH760295</t>
  </si>
  <si>
    <t>ZZH760267</t>
  </si>
  <si>
    <t>ZZH760263</t>
  </si>
  <si>
    <t>Environmental Combustion Techn</t>
  </si>
  <si>
    <t>ZZH760318</t>
  </si>
  <si>
    <t>22/09/2025</t>
  </si>
  <si>
    <t>ZZH760962</t>
  </si>
  <si>
    <t>18/09/2025</t>
  </si>
  <si>
    <t>Meah Labs Ltd</t>
  </si>
  <si>
    <t>NCFE</t>
  </si>
  <si>
    <t>16/09/2025</t>
  </si>
  <si>
    <t>12/09/2025</t>
  </si>
  <si>
    <t>ZZC760346</t>
  </si>
  <si>
    <t>ZZH760567</t>
  </si>
  <si>
    <t>ZZH761100</t>
  </si>
  <si>
    <t>C.01219.203</t>
  </si>
  <si>
    <t>ZSB760402</t>
  </si>
  <si>
    <t>ZZH760470</t>
  </si>
  <si>
    <t>Stockport Womens Centre</t>
  </si>
  <si>
    <t>10/09/2025</t>
  </si>
  <si>
    <t>ZES760379</t>
  </si>
  <si>
    <t>ZSB760396</t>
  </si>
  <si>
    <t>ZZH760540</t>
  </si>
  <si>
    <t>Viaduct Care CIC</t>
  </si>
  <si>
    <t>The Yaboo Company Limited t/a</t>
  </si>
  <si>
    <t>19/09/2025</t>
  </si>
  <si>
    <t>ZZH760572</t>
  </si>
  <si>
    <t>17/09/2025</t>
  </si>
  <si>
    <t>ZZC760469</t>
  </si>
  <si>
    <t>Bolton MBC Corporate Resources</t>
  </si>
  <si>
    <t>ZZH760685</t>
  </si>
  <si>
    <t>C.01624.203</t>
  </si>
  <si>
    <t>ZHS760616</t>
  </si>
  <si>
    <t>C.10937.250</t>
  </si>
  <si>
    <t>ZZH760578</t>
  </si>
  <si>
    <t>Sensible Choice Ltd</t>
  </si>
  <si>
    <t>ZZH760544</t>
  </si>
  <si>
    <t>HAGS-SMP Ltd</t>
  </si>
  <si>
    <t>ZZC760580</t>
  </si>
  <si>
    <t>Coram Voice</t>
  </si>
  <si>
    <t>30/09/2025</t>
  </si>
  <si>
    <t>ZZH760789</t>
  </si>
  <si>
    <t>ZZH760588</t>
  </si>
  <si>
    <t>15/09/2025</t>
  </si>
  <si>
    <t>ZZH760624</t>
  </si>
  <si>
    <t>C.01503.201</t>
  </si>
  <si>
    <t>ZZH760770</t>
  </si>
  <si>
    <t>Allium Holding Ltd t/a Accuris</t>
  </si>
  <si>
    <t>ZZC760663</t>
  </si>
  <si>
    <t>ZZH760673</t>
  </si>
  <si>
    <t>STOCKPORT SAMARITANS</t>
  </si>
  <si>
    <t>ZZH760769</t>
  </si>
  <si>
    <t>Portakabin Ltd</t>
  </si>
  <si>
    <t>C.11054</t>
  </si>
  <si>
    <t>ZZH760732</t>
  </si>
  <si>
    <t>Sapphire Utility Solutions Ltd</t>
  </si>
  <si>
    <t>C.01741.201</t>
  </si>
  <si>
    <t>ZZH760748</t>
  </si>
  <si>
    <t>ZZH760826</t>
  </si>
  <si>
    <t>ZZH760788</t>
  </si>
  <si>
    <t>ZZH760843</t>
  </si>
  <si>
    <t>ZZC760850</t>
  </si>
  <si>
    <t>LUCY FAITHFULL FOUNDATION TRAD</t>
  </si>
  <si>
    <t>ZZH760841</t>
  </si>
  <si>
    <t>ZZH760840</t>
  </si>
  <si>
    <t>P P O'Connor</t>
  </si>
  <si>
    <t>ZZH761279</t>
  </si>
  <si>
    <t>25/09/2025</t>
  </si>
  <si>
    <t>Ascentis</t>
  </si>
  <si>
    <t>ZZH760867</t>
  </si>
  <si>
    <t>ZZH760874</t>
  </si>
  <si>
    <t>ZZH761280</t>
  </si>
  <si>
    <t>ZZH761281</t>
  </si>
  <si>
    <t>SKylight Ltd</t>
  </si>
  <si>
    <t>ZZH760915</t>
  </si>
  <si>
    <t>IPL Plastics Ltd</t>
  </si>
  <si>
    <t>ZZH761181</t>
  </si>
  <si>
    <t>24/09/2025</t>
  </si>
  <si>
    <t>ZZH760977</t>
  </si>
  <si>
    <t>Developing Success Ltd</t>
  </si>
  <si>
    <t>ZZH761024</t>
  </si>
  <si>
    <t>Charles Andrews Ltd</t>
  </si>
  <si>
    <t>ZZH760982</t>
  </si>
  <si>
    <t>ZZH760981</t>
  </si>
  <si>
    <t>ZZH760985</t>
  </si>
  <si>
    <t>Wigan Council...</t>
  </si>
  <si>
    <t>ZZH760986</t>
  </si>
  <si>
    <t>ZZH761022</t>
  </si>
  <si>
    <t>ZZH761021</t>
  </si>
  <si>
    <t>ZZH761019</t>
  </si>
  <si>
    <t>ZZH761089</t>
  </si>
  <si>
    <t>C.01790.203</t>
  </si>
  <si>
    <t>ZZH761282</t>
  </si>
  <si>
    <t>ZZH761283</t>
  </si>
  <si>
    <t>ZZH761207</t>
  </si>
  <si>
    <t>Roger Hannah &amp; Co (Property Mg</t>
  </si>
  <si>
    <t>ZZH761044</t>
  </si>
  <si>
    <t>Manchester City Football C</t>
  </si>
  <si>
    <t>ZZH761062</t>
  </si>
  <si>
    <t>29/09/2025</t>
  </si>
  <si>
    <t>ZZH761139</t>
  </si>
  <si>
    <t>ZZH761169</t>
  </si>
  <si>
    <t>ZZH761168</t>
  </si>
  <si>
    <t>ZZH761357</t>
  </si>
  <si>
    <t>ZZH761254</t>
  </si>
  <si>
    <t>ZZC761273</t>
  </si>
  <si>
    <t>ZZC761295</t>
  </si>
  <si>
    <t>Jigsaw Adoption</t>
  </si>
  <si>
    <t>ZZH761370</t>
  </si>
  <si>
    <t>ZZH761369</t>
  </si>
  <si>
    <t>ZZH761368</t>
  </si>
  <si>
    <t>Rachel Hacking Ecology</t>
  </si>
  <si>
    <t>ZZH761367</t>
  </si>
  <si>
    <t>Hirst Conservation</t>
  </si>
  <si>
    <t>C.11502.112</t>
  </si>
  <si>
    <t>ZZH761366</t>
  </si>
  <si>
    <t>ZZH761420</t>
  </si>
  <si>
    <t>ZZH761422</t>
  </si>
  <si>
    <t>Donald Insall Associates</t>
  </si>
  <si>
    <t>C.11502.129</t>
  </si>
  <si>
    <t>ZZH761434</t>
  </si>
  <si>
    <t>Document Date</t>
  </si>
  <si>
    <t>Purchase Order No</t>
  </si>
  <si>
    <t>Line Item No</t>
  </si>
  <si>
    <t>Supplier ID</t>
  </si>
  <si>
    <t>Supplier Name</t>
  </si>
  <si>
    <t>Pro Class</t>
  </si>
  <si>
    <t>Pro Class Description</t>
  </si>
  <si>
    <t>Description of Goods (Purpose of expenditure look up)</t>
  </si>
  <si>
    <t>Service/Department   (SAP Hierarchy Position)</t>
  </si>
  <si>
    <t>Expense Area (cost centre desc)</t>
  </si>
  <si>
    <t>Net Order Value Over £5000.00 (line item value shown here)</t>
  </si>
  <si>
    <t>GL Code</t>
  </si>
  <si>
    <t>Cost Centre/WBS</t>
  </si>
  <si>
    <t xml:space="preserve">Environmental Services Technical Equipment </t>
  </si>
  <si>
    <t>Furniture and Equipment</t>
  </si>
  <si>
    <t>Corporate and Support Services</t>
  </si>
  <si>
    <t xml:space="preserve">Information Communication Technology  </t>
  </si>
  <si>
    <t>Information and Communications Technology</t>
  </si>
  <si>
    <t xml:space="preserve">Financial Services Rents </t>
  </si>
  <si>
    <t>Rents</t>
  </si>
  <si>
    <t>Services to Place</t>
  </si>
  <si>
    <t xml:space="preserve">Cleaning &amp; Janitorial  </t>
  </si>
  <si>
    <t>Cleaning</t>
  </si>
  <si>
    <t xml:space="preserve">Works - Construction, Repair &amp; Maintenance  </t>
  </si>
  <si>
    <t>Repairs and Maintenance</t>
  </si>
  <si>
    <t>Capital Expenditure - Works</t>
  </si>
  <si>
    <t>Services to People</t>
  </si>
  <si>
    <t xml:space="preserve">Catering Food &amp; Beverages </t>
  </si>
  <si>
    <t>Catering Supplies</t>
  </si>
  <si>
    <t xml:space="preserve">Education  </t>
  </si>
  <si>
    <t>Fees and Charges</t>
  </si>
  <si>
    <t xml:space="preserve">Utilities   </t>
  </si>
  <si>
    <t>Utilities</t>
  </si>
  <si>
    <t xml:space="preserve">Social Community Care Supplies &amp; Services  </t>
  </si>
  <si>
    <t>Care Payments</t>
  </si>
  <si>
    <t xml:space="preserve">Human Resources Interpretation &amp; Translation </t>
  </si>
  <si>
    <t>Professional Fees</t>
  </si>
  <si>
    <t xml:space="preserve">Financial Services  </t>
  </si>
  <si>
    <t xml:space="preserve">Furniture &amp; Soft Furnishings  </t>
  </si>
  <si>
    <t xml:space="preserve">Consultancy   </t>
  </si>
  <si>
    <t>Environmental Services Waste Management</t>
  </si>
  <si>
    <t>Waste Management Equipment</t>
  </si>
  <si>
    <t xml:space="preserve">Human Resources  </t>
  </si>
  <si>
    <t>Other Payments</t>
  </si>
  <si>
    <t xml:space="preserve">Human Resources Recruitment &amp; Assessment </t>
  </si>
  <si>
    <t>Advertising</t>
  </si>
  <si>
    <t>Supplies and services</t>
  </si>
  <si>
    <t>Welfare Payments</t>
  </si>
  <si>
    <t>Staff Training</t>
  </si>
  <si>
    <t xml:space="preserve">Human Resources Training &amp; Conferences </t>
  </si>
  <si>
    <t>Third party payments - Private/Voluntary Sector</t>
  </si>
  <si>
    <t xml:space="preserve">Healthcare  </t>
  </si>
  <si>
    <t>Third party payments - Public Sector</t>
  </si>
  <si>
    <t>Works - Construction, Repair &amp; Maintenance Buildings Surveys</t>
  </si>
  <si>
    <t>Capital Expenditure - Fees</t>
  </si>
  <si>
    <t xml:space="preserve">Facilities &amp; Management Services  </t>
  </si>
  <si>
    <t>Office Expenses</t>
  </si>
  <si>
    <t xml:space="preserve">Street &amp; Traffic Management  </t>
  </si>
  <si>
    <t>Fixtures and Fittings</t>
  </si>
  <si>
    <t xml:space="preserve">Catering  </t>
  </si>
  <si>
    <t>Expenses and Allowances</t>
  </si>
  <si>
    <t xml:space="preserve">Financial Services Subscriptions </t>
  </si>
  <si>
    <t xml:space="preserve">Arts &amp; Leisure Services  </t>
  </si>
  <si>
    <t>Publicity and Promotion</t>
  </si>
  <si>
    <t>Non-General Fund Items</t>
  </si>
  <si>
    <t xml:space="preserve">Vehicle Management Hire/Leasing </t>
  </si>
  <si>
    <t>Leasing /Transport Hire</t>
  </si>
  <si>
    <t xml:space="preserve">Education Examinational Fees </t>
  </si>
  <si>
    <t>IT AVA Non - SLA</t>
  </si>
  <si>
    <t>IT Infrastructure</t>
  </si>
  <si>
    <t>SPB Operational Est.</t>
  </si>
  <si>
    <t>Moat House PRU</t>
  </si>
  <si>
    <t>Highfields PRU</t>
  </si>
  <si>
    <t>Car Parks Admin</t>
  </si>
  <si>
    <t>RAA - ASF Grant</t>
  </si>
  <si>
    <t>RAA Adoption Count</t>
  </si>
  <si>
    <t>Incl - S.I.U - Perip</t>
  </si>
  <si>
    <t>SI - Music Service</t>
  </si>
  <si>
    <t>SC - Leaving Care</t>
  </si>
  <si>
    <t>Staying Close</t>
  </si>
  <si>
    <t>GO/HG Client spend</t>
  </si>
  <si>
    <t>SI - Advisers</t>
  </si>
  <si>
    <t>GMRAPS</t>
  </si>
  <si>
    <t>T.Union facilities</t>
  </si>
  <si>
    <t>Pymnt to contctr R+R</t>
  </si>
  <si>
    <t>POD Core Staffing</t>
  </si>
  <si>
    <t>PH-Lifestyles</t>
  </si>
  <si>
    <t>Property Client Acct</t>
  </si>
  <si>
    <t>Merseyway Shop Ctre</t>
  </si>
  <si>
    <t>I.T Business Relat</t>
  </si>
  <si>
    <t>House sacks box bags</t>
  </si>
  <si>
    <t>Gritting</t>
  </si>
  <si>
    <t>Heads of Service</t>
  </si>
  <si>
    <t>Domestic Abuse Bill</t>
  </si>
  <si>
    <t>SS-FreeSclTrans-Sec</t>
  </si>
  <si>
    <t>CCTV-Control</t>
  </si>
  <si>
    <t>POD Workforce Dev</t>
  </si>
  <si>
    <t>LSS Management</t>
  </si>
  <si>
    <t>Contracts SS Manager</t>
  </si>
  <si>
    <t>Com. Invest Fund</t>
  </si>
  <si>
    <t>STaR Procurement</t>
  </si>
  <si>
    <t>SF Senior Management</t>
  </si>
  <si>
    <t>School Closure</t>
  </si>
  <si>
    <t>SC - Care Matters</t>
  </si>
  <si>
    <t>Bentax</t>
  </si>
  <si>
    <t>IT Main</t>
  </si>
  <si>
    <t>MD Programme</t>
  </si>
  <si>
    <t>Garden Waste</t>
  </si>
  <si>
    <t>MS Design Frnwk Staf</t>
  </si>
  <si>
    <t>Design Frmwk Staff</t>
  </si>
  <si>
    <t>Pest Control</t>
  </si>
  <si>
    <t>SG - Child Prot-Lscb</t>
  </si>
  <si>
    <t>Public Realm Inspect</t>
  </si>
  <si>
    <t>Contin Educ Service</t>
  </si>
  <si>
    <t>Neighbourhood Inclus</t>
  </si>
  <si>
    <t>Bulk Container</t>
  </si>
  <si>
    <t>NW RIPP</t>
  </si>
  <si>
    <t>Regional Imp Allianc</t>
  </si>
  <si>
    <t>AGMA &amp; LA Subs</t>
  </si>
  <si>
    <t>SC - Child &amp; Fam SW</t>
  </si>
  <si>
    <t>SEN Specific support</t>
  </si>
  <si>
    <t>Chief Execs Office</t>
  </si>
  <si>
    <t>Network Assets Staff</t>
  </si>
  <si>
    <t>Struc Test of Column</t>
  </si>
  <si>
    <t>HSF 5</t>
  </si>
  <si>
    <t>Scale &amp; Spread - NWD</t>
  </si>
  <si>
    <t>Borough Festive Ligh</t>
  </si>
  <si>
    <t>FDAC - Family D&amp;A Ct</t>
  </si>
  <si>
    <t>U-Misc Fin-Corp Mang</t>
  </si>
  <si>
    <t>IT School</t>
  </si>
  <si>
    <t>Top-up Fund Post 16</t>
  </si>
  <si>
    <t>WD-Staff Dev-Grants</t>
  </si>
  <si>
    <t>MOS - Mosaic Mngmnt</t>
  </si>
  <si>
    <t>Preventative Tech'Gy</t>
  </si>
  <si>
    <t>HRA Strategic Mgt</t>
  </si>
  <si>
    <t>SC - CAHMS</t>
  </si>
  <si>
    <t>Partners In Practice</t>
  </si>
  <si>
    <t>SEN Incl - Psycholog</t>
  </si>
  <si>
    <t>Berevement Services</t>
  </si>
  <si>
    <t>StockportArt Gallery</t>
  </si>
  <si>
    <t>Highway Walls &amp; Safe</t>
  </si>
  <si>
    <t>Regen &amp; Development</t>
  </si>
  <si>
    <t>Stockport Borough Cr</t>
  </si>
  <si>
    <t>Proactive Care</t>
  </si>
  <si>
    <t>Play</t>
  </si>
  <si>
    <t>IT MFD</t>
  </si>
  <si>
    <t>IT Systems</t>
  </si>
  <si>
    <t>PH-Mental Wellbeing</t>
  </si>
  <si>
    <t>U-Probation Serv-Gen</t>
  </si>
  <si>
    <t>VST - PPG</t>
  </si>
  <si>
    <t>Wheelie Bins</t>
  </si>
  <si>
    <t>Adults Management</t>
  </si>
  <si>
    <t>Aids, Equip &amp; Maint</t>
  </si>
  <si>
    <t>Minor Adap'S Joiner</t>
  </si>
  <si>
    <t>RIA SEND</t>
  </si>
  <si>
    <t>SPB - Investment Est</t>
  </si>
  <si>
    <t>SEN Independent Sch</t>
  </si>
  <si>
    <t>GM Refugee Welcome P</t>
  </si>
  <si>
    <t>GM Econ Inactivity</t>
  </si>
  <si>
    <t>Arts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</si>
</sst>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cnfps\FinSup\FINANCIAL%20SYSTEMS%20&amp;%20CONTROL\Systems%20Support%20and%20Maintenance%20Team\500%20Spend\2025-26\Cost%20Centre%20and%20GL%20Lookups.xlsx" TargetMode="External"/><Relationship Id="rId1" Type="http://schemas.openxmlformats.org/officeDocument/2006/relationships/externalLinkPath" Target="/FINANCIAL%20SYSTEMS%20&amp;%20CONTROL/Systems%20Support%20and%20Maintenance%20Team/500%20Spend/2025-26/Cost%20Centre%20and%20GL%20Looku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orate"/>
      <sheetName val="Capital Codes (new)"/>
      <sheetName val="SERCOP"/>
      <sheetName val="GL Lookups"/>
    </sheetNames>
    <sheetDataSet>
      <sheetData sheetId="0"/>
      <sheetData sheetId="1"/>
      <sheetData sheetId="2" refreshError="1"/>
      <sheetData sheetId="3">
        <row r="3">
          <cell r="A3" t="str">
            <v>GL_Code</v>
          </cell>
          <cell r="B3" t="str">
            <v>GL_Name</v>
          </cell>
          <cell r="C3" t="str">
            <v>CIPFA_Classification</v>
          </cell>
          <cell r="D3" t="str">
            <v>Purpose_of_Expenditure</v>
          </cell>
          <cell r="E3" t="str">
            <v>Proclass_Code</v>
          </cell>
        </row>
        <row r="4">
          <cell r="A4">
            <v>100001</v>
          </cell>
          <cell r="B4" t="str">
            <v>Pay Teachers</v>
          </cell>
          <cell r="C4" t="str">
            <v>Employee expenditure</v>
          </cell>
          <cell r="D4" t="str">
            <v>MISCLASSIFIED? CHECK BEFORE PUBLICATION</v>
          </cell>
          <cell r="E4">
            <v>999999</v>
          </cell>
        </row>
        <row r="5">
          <cell r="A5">
            <v>100100</v>
          </cell>
          <cell r="B5" t="str">
            <v>Salaries</v>
          </cell>
          <cell r="C5" t="str">
            <v>Employee expenditure</v>
          </cell>
          <cell r="D5" t="str">
            <v>MISCLASSIFIED? CHECK BEFORE PUBLICATION</v>
          </cell>
          <cell r="E5">
            <v>999999</v>
          </cell>
        </row>
        <row r="6">
          <cell r="A6">
            <v>100101</v>
          </cell>
          <cell r="B6" t="str">
            <v>Sals-Admin&amp;Clerical</v>
          </cell>
          <cell r="C6" t="str">
            <v>Employee expenditure</v>
          </cell>
          <cell r="D6" t="str">
            <v>MISCLASSIFIED? CHECK BEFORE PUBLICATION</v>
          </cell>
          <cell r="E6">
            <v>999999</v>
          </cell>
        </row>
        <row r="7">
          <cell r="A7">
            <v>100102</v>
          </cell>
          <cell r="B7" t="str">
            <v>Sals-Ancillary Staff</v>
          </cell>
          <cell r="C7" t="str">
            <v>Employee expenditure</v>
          </cell>
          <cell r="D7" t="str">
            <v>MISCLASSIFIED? CHECK BEFORE PUBLICATION</v>
          </cell>
          <cell r="E7">
            <v>999999</v>
          </cell>
        </row>
        <row r="8">
          <cell r="A8">
            <v>100103</v>
          </cell>
          <cell r="B8" t="str">
            <v>Sals -Day Service Of</v>
          </cell>
          <cell r="C8" t="str">
            <v>Employee expenditure</v>
          </cell>
          <cell r="D8" t="str">
            <v>MISCLASSIFIED? CHECK BEFORE PUBLICATION</v>
          </cell>
          <cell r="E8">
            <v>999999</v>
          </cell>
        </row>
        <row r="9">
          <cell r="A9">
            <v>100104</v>
          </cell>
          <cell r="B9" t="str">
            <v>Sals -Educ'N Adviser</v>
          </cell>
          <cell r="C9" t="str">
            <v>Employee expenditure</v>
          </cell>
          <cell r="D9" t="str">
            <v>MISCLASSIFIED? CHECK BEFORE PUBLICATION</v>
          </cell>
          <cell r="E9">
            <v>999999</v>
          </cell>
        </row>
        <row r="10">
          <cell r="A10">
            <v>100105</v>
          </cell>
          <cell r="B10" t="str">
            <v>Sals -Welfare Off'S</v>
          </cell>
          <cell r="C10" t="str">
            <v>Employee expenditure</v>
          </cell>
          <cell r="D10" t="str">
            <v>MISCLASSIFIED? CHECK BEFORE PUBLICATION</v>
          </cell>
          <cell r="E10">
            <v>999999</v>
          </cell>
        </row>
        <row r="11">
          <cell r="A11">
            <v>100106</v>
          </cell>
          <cell r="B11" t="str">
            <v>Sals -Psychologists</v>
          </cell>
          <cell r="C11" t="str">
            <v>Employee expenditure</v>
          </cell>
          <cell r="D11" t="str">
            <v>MISCLASSIFIED? CHECK BEFORE PUBLICATION</v>
          </cell>
          <cell r="E11">
            <v>999999</v>
          </cell>
        </row>
        <row r="12">
          <cell r="A12">
            <v>100107</v>
          </cell>
          <cell r="B12" t="str">
            <v>Sals -Lecturers Fees</v>
          </cell>
          <cell r="C12" t="str">
            <v>Employee expenditure</v>
          </cell>
          <cell r="D12" t="str">
            <v>MISCLASSIFIED? CHECK BEFORE PUBLICATION</v>
          </cell>
          <cell r="E12">
            <v>999999</v>
          </cell>
        </row>
        <row r="13">
          <cell r="A13">
            <v>100108</v>
          </cell>
          <cell r="B13" t="str">
            <v>Sals -Non Sch 2 Fe</v>
          </cell>
          <cell r="C13" t="str">
            <v>Employee expenditure</v>
          </cell>
          <cell r="D13" t="str">
            <v>MISCLASSIFIED? CHECK BEFORE PUBLICATION</v>
          </cell>
          <cell r="E13">
            <v>999999</v>
          </cell>
        </row>
        <row r="14">
          <cell r="A14">
            <v>100109</v>
          </cell>
          <cell r="B14" t="str">
            <v>Sals -Principals Etc</v>
          </cell>
          <cell r="C14" t="str">
            <v>Employee expenditure</v>
          </cell>
          <cell r="D14" t="str">
            <v>MISCLASSIFIED? CHECK BEFORE PUBLICATION</v>
          </cell>
          <cell r="E14">
            <v>999999</v>
          </cell>
        </row>
        <row r="15">
          <cell r="A15">
            <v>100110</v>
          </cell>
          <cell r="B15" t="str">
            <v>Sals -Res Social Wk</v>
          </cell>
          <cell r="C15" t="str">
            <v>Employee expenditure</v>
          </cell>
          <cell r="D15" t="str">
            <v>MISCLASSIFIED? CHECK BEFORE PUBLICATION</v>
          </cell>
          <cell r="E15">
            <v>999999</v>
          </cell>
        </row>
        <row r="16">
          <cell r="A16">
            <v>100111</v>
          </cell>
          <cell r="B16" t="str">
            <v>Sals -Non Sch 2 Acl</v>
          </cell>
          <cell r="C16" t="str">
            <v>Employee expenditure</v>
          </cell>
          <cell r="D16" t="str">
            <v>MISCLASSIFIED? CHECK BEFORE PUBLICATION</v>
          </cell>
          <cell r="E16">
            <v>999999</v>
          </cell>
        </row>
        <row r="17">
          <cell r="A17">
            <v>100112</v>
          </cell>
          <cell r="B17" t="str">
            <v>Sals -Social Worker</v>
          </cell>
          <cell r="C17" t="str">
            <v>Employee expenditure</v>
          </cell>
          <cell r="D17" t="str">
            <v>MISCLASSIFIED? CHECK BEFORE PUBLICATION</v>
          </cell>
          <cell r="E17">
            <v>999999</v>
          </cell>
        </row>
        <row r="18">
          <cell r="A18">
            <v>100113</v>
          </cell>
          <cell r="B18" t="str">
            <v>Sals-SMBC Suply Teac</v>
          </cell>
          <cell r="C18" t="str">
            <v>Employee expenditure</v>
          </cell>
          <cell r="D18" t="str">
            <v>MISCLASSIFIED? CHECK BEFORE PUBLICATION</v>
          </cell>
          <cell r="E18">
            <v>999999</v>
          </cell>
        </row>
        <row r="19">
          <cell r="A19">
            <v>100114</v>
          </cell>
          <cell r="B19" t="str">
            <v>Sals -Teachers</v>
          </cell>
          <cell r="C19" t="str">
            <v>Employee expenditure</v>
          </cell>
          <cell r="D19" t="str">
            <v>MISCLASSIFIED? CHECK BEFORE PUBLICATION</v>
          </cell>
          <cell r="E19">
            <v>999999</v>
          </cell>
        </row>
        <row r="20">
          <cell r="A20">
            <v>100115</v>
          </cell>
          <cell r="B20" t="str">
            <v>Sals -Tier 4  (Pct)</v>
          </cell>
          <cell r="C20" t="str">
            <v>Employee expenditure</v>
          </cell>
          <cell r="D20" t="str">
            <v>MISCLASSIFIED? CHECK BEFORE PUBLICATION</v>
          </cell>
          <cell r="E20">
            <v>999999</v>
          </cell>
        </row>
        <row r="21">
          <cell r="A21">
            <v>100116</v>
          </cell>
          <cell r="B21" t="str">
            <v>Sals -Creche Worker</v>
          </cell>
          <cell r="C21" t="str">
            <v>Employee expenditure</v>
          </cell>
          <cell r="D21" t="str">
            <v>MISCLASSIFIED? CHECK BEFORE PUBLICATION</v>
          </cell>
          <cell r="E21">
            <v>999999</v>
          </cell>
        </row>
        <row r="22">
          <cell r="A22">
            <v>100117</v>
          </cell>
          <cell r="B22" t="str">
            <v>Sals -Nursery Assist</v>
          </cell>
          <cell r="C22" t="str">
            <v>Employee expenditure</v>
          </cell>
          <cell r="D22" t="str">
            <v>MISCLASSIFIED? CHECK BEFORE PUBLICATION</v>
          </cell>
          <cell r="E22">
            <v>999999</v>
          </cell>
        </row>
        <row r="23">
          <cell r="A23">
            <v>100118</v>
          </cell>
          <cell r="B23" t="str">
            <v>Sals -Teaching Asst</v>
          </cell>
          <cell r="C23" t="str">
            <v>Employee expenditure</v>
          </cell>
          <cell r="D23" t="str">
            <v>MISCLASSIFIED? CHECK BEFORE PUBLICATION</v>
          </cell>
          <cell r="E23">
            <v>999999</v>
          </cell>
        </row>
        <row r="24">
          <cell r="A24">
            <v>100119</v>
          </cell>
          <cell r="B24" t="str">
            <v>Salaries - NHS trans</v>
          </cell>
          <cell r="C24" t="str">
            <v>Employee expenditure</v>
          </cell>
          <cell r="D24" t="str">
            <v>MISCLASSIFIED? CHECK BEFORE PUBLICATION</v>
          </cell>
          <cell r="E24">
            <v>999999</v>
          </cell>
        </row>
        <row r="25">
          <cell r="A25">
            <v>100120</v>
          </cell>
          <cell r="B25" t="str">
            <v>National Insurance</v>
          </cell>
          <cell r="C25" t="str">
            <v>Employee expenditure</v>
          </cell>
          <cell r="D25" t="str">
            <v>MISCLASSIFIED? CHECK BEFORE PUBLICATION</v>
          </cell>
          <cell r="E25">
            <v>999999</v>
          </cell>
        </row>
        <row r="26">
          <cell r="A26">
            <v>100121</v>
          </cell>
          <cell r="B26" t="str">
            <v>NI -Admin&amp;Clerical</v>
          </cell>
          <cell r="C26" t="str">
            <v>Employee expenditure</v>
          </cell>
          <cell r="D26" t="str">
            <v>MISCLASSIFIED? CHECK BEFORE PUBLICATION</v>
          </cell>
          <cell r="E26">
            <v>999999</v>
          </cell>
        </row>
        <row r="27">
          <cell r="A27">
            <v>100122</v>
          </cell>
          <cell r="B27" t="str">
            <v>NI -Ancillary Staff</v>
          </cell>
          <cell r="C27" t="str">
            <v>Employee expenditure</v>
          </cell>
          <cell r="D27" t="str">
            <v>MISCLASSIFIED? CHECK BEFORE PUBLICATION</v>
          </cell>
          <cell r="E27">
            <v>999999</v>
          </cell>
        </row>
        <row r="28">
          <cell r="A28">
            <v>100123</v>
          </cell>
          <cell r="B28" t="str">
            <v>NI -Day Service Offs</v>
          </cell>
          <cell r="C28" t="str">
            <v>Employee expenditure</v>
          </cell>
          <cell r="D28" t="str">
            <v>MISCLASSIFIED? CHECK BEFORE PUBLICATION</v>
          </cell>
          <cell r="E28">
            <v>999999</v>
          </cell>
        </row>
        <row r="29">
          <cell r="A29">
            <v>100124</v>
          </cell>
          <cell r="B29" t="str">
            <v>NI -Education Advise</v>
          </cell>
          <cell r="C29" t="str">
            <v>Employee expenditure</v>
          </cell>
          <cell r="D29" t="str">
            <v>MISCLASSIFIED? CHECK BEFORE PUBLICATION</v>
          </cell>
          <cell r="E29">
            <v>999999</v>
          </cell>
        </row>
        <row r="30">
          <cell r="A30">
            <v>100125</v>
          </cell>
          <cell r="B30" t="str">
            <v>NI -Welfare Officers</v>
          </cell>
          <cell r="C30" t="str">
            <v>Employee expenditure</v>
          </cell>
          <cell r="D30" t="str">
            <v>MISCLASSIFIED? CHECK BEFORE PUBLICATION</v>
          </cell>
          <cell r="E30">
            <v>999999</v>
          </cell>
        </row>
        <row r="31">
          <cell r="A31">
            <v>100126</v>
          </cell>
          <cell r="B31" t="str">
            <v>NI -Psychologists</v>
          </cell>
          <cell r="C31" t="str">
            <v>Employee expenditure</v>
          </cell>
          <cell r="D31" t="str">
            <v>MISCLASSIFIED? CHECK BEFORE PUBLICATION</v>
          </cell>
          <cell r="E31">
            <v>999999</v>
          </cell>
        </row>
        <row r="32">
          <cell r="A32">
            <v>100127</v>
          </cell>
          <cell r="B32" t="str">
            <v>NI -Lecturers Fees</v>
          </cell>
          <cell r="C32" t="str">
            <v>Employee expenditure</v>
          </cell>
          <cell r="D32" t="str">
            <v>MISCLASSIFIED? CHECK BEFORE PUBLICATION</v>
          </cell>
          <cell r="E32">
            <v>999999</v>
          </cell>
        </row>
        <row r="33">
          <cell r="A33">
            <v>100128</v>
          </cell>
          <cell r="B33" t="str">
            <v>NI -Non Sch 2 Fe</v>
          </cell>
          <cell r="C33" t="str">
            <v>Employee expenditure</v>
          </cell>
          <cell r="D33" t="str">
            <v>MISCLASSIFIED? CHECK BEFORE PUBLICATION</v>
          </cell>
          <cell r="E33">
            <v>999999</v>
          </cell>
        </row>
        <row r="34">
          <cell r="A34">
            <v>100129</v>
          </cell>
          <cell r="B34" t="str">
            <v>NI -Principals Etc</v>
          </cell>
          <cell r="C34" t="str">
            <v>Employee expenditure</v>
          </cell>
          <cell r="D34" t="str">
            <v>MISCLASSIFIED? CHECK BEFORE PUBLICATION</v>
          </cell>
          <cell r="E34">
            <v>999999</v>
          </cell>
        </row>
        <row r="35">
          <cell r="A35">
            <v>100130</v>
          </cell>
          <cell r="B35" t="str">
            <v>NI -Res Social Work</v>
          </cell>
          <cell r="C35" t="str">
            <v>Employee expenditure</v>
          </cell>
          <cell r="D35" t="str">
            <v>MISCLASSIFIED? CHECK BEFORE PUBLICATION</v>
          </cell>
          <cell r="E35">
            <v>999999</v>
          </cell>
        </row>
        <row r="36">
          <cell r="A36">
            <v>100131</v>
          </cell>
          <cell r="B36" t="str">
            <v>NI -Non Sch 2 Acl</v>
          </cell>
          <cell r="C36" t="str">
            <v>Employee expenditure</v>
          </cell>
          <cell r="D36" t="str">
            <v>MISCLASSIFIED? CHECK BEFORE PUBLICATION</v>
          </cell>
          <cell r="E36">
            <v>999999</v>
          </cell>
        </row>
        <row r="37">
          <cell r="A37">
            <v>100132</v>
          </cell>
          <cell r="B37" t="str">
            <v>NI -Social Worker</v>
          </cell>
          <cell r="C37" t="str">
            <v>Employee expenditure</v>
          </cell>
          <cell r="D37" t="str">
            <v>MISCLASSIFIED? CHECK BEFORE PUBLICATION</v>
          </cell>
          <cell r="E37">
            <v>999999</v>
          </cell>
        </row>
        <row r="38">
          <cell r="A38">
            <v>100133</v>
          </cell>
          <cell r="B38" t="str">
            <v>NI -SMBC Suply Teach</v>
          </cell>
          <cell r="C38" t="str">
            <v>Employee expenditure</v>
          </cell>
          <cell r="D38" t="str">
            <v>MISCLASSIFIED? CHECK BEFORE PUBLICATION</v>
          </cell>
          <cell r="E38">
            <v>999999</v>
          </cell>
        </row>
        <row r="39">
          <cell r="A39">
            <v>100134</v>
          </cell>
          <cell r="B39" t="str">
            <v>NI -Teachers</v>
          </cell>
          <cell r="C39" t="str">
            <v>Employee expenditure</v>
          </cell>
          <cell r="D39" t="str">
            <v>MISCLASSIFIED? CHECK BEFORE PUBLICATION</v>
          </cell>
          <cell r="E39">
            <v>999999</v>
          </cell>
        </row>
        <row r="40">
          <cell r="A40">
            <v>100135</v>
          </cell>
          <cell r="B40" t="str">
            <v>NI -Tier 4 (Pct)</v>
          </cell>
          <cell r="C40" t="str">
            <v>Employee expenditure</v>
          </cell>
          <cell r="D40" t="str">
            <v>MISCLASSIFIED? CHECK BEFORE PUBLICATION</v>
          </cell>
          <cell r="E40">
            <v>999999</v>
          </cell>
        </row>
        <row r="41">
          <cell r="A41">
            <v>100136</v>
          </cell>
          <cell r="B41" t="str">
            <v>NI -Creche Workers</v>
          </cell>
          <cell r="C41" t="str">
            <v>Employee expenditure</v>
          </cell>
          <cell r="D41" t="str">
            <v>MISCLASSIFIED? CHECK BEFORE PUBLICATION</v>
          </cell>
          <cell r="E41">
            <v>999999</v>
          </cell>
        </row>
        <row r="42">
          <cell r="A42">
            <v>100137</v>
          </cell>
          <cell r="B42" t="str">
            <v>NI -Nursery Asst</v>
          </cell>
          <cell r="C42" t="str">
            <v>Employee expenditure</v>
          </cell>
          <cell r="D42" t="str">
            <v>MISCLASSIFIED? CHECK BEFORE PUBLICATION</v>
          </cell>
          <cell r="E42">
            <v>999999</v>
          </cell>
        </row>
        <row r="43">
          <cell r="A43">
            <v>100138</v>
          </cell>
          <cell r="B43" t="str">
            <v>NI -Teaching Asst</v>
          </cell>
          <cell r="C43" t="str">
            <v>Employee expenditure</v>
          </cell>
          <cell r="D43" t="str">
            <v>MISCLASSIFIED? CHECK BEFORE PUBLICATION</v>
          </cell>
          <cell r="E43">
            <v>999999</v>
          </cell>
        </row>
        <row r="44">
          <cell r="A44">
            <v>100139</v>
          </cell>
          <cell r="B44" t="str">
            <v>NI - NHS trans</v>
          </cell>
          <cell r="C44" t="str">
            <v>Employee expenditure</v>
          </cell>
          <cell r="D44" t="str">
            <v>MISCLASSIFIED? CHECK BEFORE PUBLICATION</v>
          </cell>
          <cell r="E44">
            <v>999999</v>
          </cell>
        </row>
        <row r="45">
          <cell r="A45">
            <v>100140</v>
          </cell>
          <cell r="B45" t="str">
            <v>Superannuation</v>
          </cell>
          <cell r="C45" t="str">
            <v>Employee expenditure</v>
          </cell>
          <cell r="D45" t="str">
            <v>MISCLASSIFIED? CHECK BEFORE PUBLICATION</v>
          </cell>
          <cell r="E45">
            <v>999999</v>
          </cell>
        </row>
        <row r="46">
          <cell r="A46">
            <v>100141</v>
          </cell>
          <cell r="B46" t="str">
            <v>Super -A&amp; C General</v>
          </cell>
          <cell r="C46" t="str">
            <v>Employee expenditure</v>
          </cell>
          <cell r="D46" t="str">
            <v>MISCLASSIFIED? CHECK BEFORE PUBLICATION</v>
          </cell>
          <cell r="E46">
            <v>999999</v>
          </cell>
        </row>
        <row r="47">
          <cell r="A47">
            <v>100142</v>
          </cell>
          <cell r="B47" t="str">
            <v>Super -Ancillary Stf</v>
          </cell>
          <cell r="C47" t="str">
            <v>Employee expenditure</v>
          </cell>
          <cell r="D47" t="str">
            <v>MISCLASSIFIED? CHECK BEFORE PUBLICATION</v>
          </cell>
          <cell r="E47">
            <v>999999</v>
          </cell>
        </row>
        <row r="48">
          <cell r="A48">
            <v>100143</v>
          </cell>
          <cell r="B48" t="str">
            <v>Super -Day Service O</v>
          </cell>
          <cell r="C48" t="str">
            <v>Employee expenditure</v>
          </cell>
          <cell r="D48" t="str">
            <v>MISCLASSIFIED? CHECK BEFORE PUBLICATION</v>
          </cell>
          <cell r="E48">
            <v>999999</v>
          </cell>
        </row>
        <row r="49">
          <cell r="A49">
            <v>100144</v>
          </cell>
          <cell r="B49" t="str">
            <v>Super -Ed Advisers</v>
          </cell>
          <cell r="C49" t="str">
            <v>Employee expenditure</v>
          </cell>
          <cell r="D49" t="str">
            <v>MISCLASSIFIED? CHECK BEFORE PUBLICATION</v>
          </cell>
          <cell r="E49">
            <v>999999</v>
          </cell>
        </row>
        <row r="50">
          <cell r="A50">
            <v>100145</v>
          </cell>
          <cell r="B50" t="str">
            <v>Super -Welfare Off'S</v>
          </cell>
          <cell r="C50" t="str">
            <v>Employee expenditure</v>
          </cell>
          <cell r="D50" t="str">
            <v>MISCLASSIFIED? CHECK BEFORE PUBLICATION</v>
          </cell>
          <cell r="E50">
            <v>999999</v>
          </cell>
        </row>
        <row r="51">
          <cell r="A51">
            <v>100146</v>
          </cell>
          <cell r="B51" t="str">
            <v>Super -Psychologists</v>
          </cell>
          <cell r="C51" t="str">
            <v>Employee expenditure</v>
          </cell>
          <cell r="D51" t="str">
            <v>MISCLASSIFIED? CHECK BEFORE PUBLICATION</v>
          </cell>
          <cell r="E51">
            <v>999999</v>
          </cell>
        </row>
        <row r="52">
          <cell r="A52">
            <v>100147</v>
          </cell>
          <cell r="B52" t="str">
            <v>Super -Lecturers Fee</v>
          </cell>
          <cell r="C52" t="str">
            <v>Employee expenditure</v>
          </cell>
          <cell r="D52" t="str">
            <v>MISCLASSIFIED? CHECK BEFORE PUBLICATION</v>
          </cell>
          <cell r="E52">
            <v>999999</v>
          </cell>
        </row>
        <row r="53">
          <cell r="A53">
            <v>100148</v>
          </cell>
          <cell r="B53" t="str">
            <v>Super -Non Sch 2 Fe</v>
          </cell>
          <cell r="C53" t="str">
            <v>Employee expenditure</v>
          </cell>
          <cell r="D53" t="str">
            <v>MISCLASSIFIED? CHECK BEFORE PUBLICATION</v>
          </cell>
          <cell r="E53">
            <v>999999</v>
          </cell>
        </row>
        <row r="54">
          <cell r="A54">
            <v>100149</v>
          </cell>
          <cell r="B54" t="str">
            <v>Super -Prin&amp; Officer</v>
          </cell>
          <cell r="C54" t="str">
            <v>Employee expenditure</v>
          </cell>
          <cell r="D54" t="str">
            <v>MISCLASSIFIED? CHECK BEFORE PUBLICATION</v>
          </cell>
          <cell r="E54">
            <v>999999</v>
          </cell>
        </row>
        <row r="55">
          <cell r="A55">
            <v>100150</v>
          </cell>
          <cell r="B55" t="str">
            <v>Super -Res Social Wk</v>
          </cell>
          <cell r="C55" t="str">
            <v>Employee expenditure</v>
          </cell>
          <cell r="D55" t="str">
            <v>MISCLASSIFIED? CHECK BEFORE PUBLICATION</v>
          </cell>
          <cell r="E55">
            <v>999999</v>
          </cell>
        </row>
        <row r="56">
          <cell r="A56">
            <v>100151</v>
          </cell>
          <cell r="B56" t="str">
            <v>Super -Non Sch 2 Acl</v>
          </cell>
          <cell r="C56" t="str">
            <v>Employee expenditure</v>
          </cell>
          <cell r="D56" t="str">
            <v>MISCLASSIFIED? CHECK BEFORE PUBLICATION</v>
          </cell>
          <cell r="E56">
            <v>999999</v>
          </cell>
        </row>
        <row r="57">
          <cell r="A57">
            <v>100152</v>
          </cell>
          <cell r="B57" t="str">
            <v>Super -Social Worker</v>
          </cell>
          <cell r="C57" t="str">
            <v>Employee expenditure</v>
          </cell>
          <cell r="D57" t="str">
            <v>MISCLASSIFIED? CHECK BEFORE PUBLICATION</v>
          </cell>
          <cell r="E57">
            <v>999999</v>
          </cell>
        </row>
        <row r="58">
          <cell r="A58">
            <v>100153</v>
          </cell>
          <cell r="B58" t="str">
            <v>Super -SMBC Supply T</v>
          </cell>
          <cell r="C58" t="str">
            <v>Employee expenditure</v>
          </cell>
          <cell r="D58" t="str">
            <v>MISCLASSIFIED? CHECK BEFORE PUBLICATION</v>
          </cell>
          <cell r="E58">
            <v>999999</v>
          </cell>
        </row>
        <row r="59">
          <cell r="A59">
            <v>100154</v>
          </cell>
          <cell r="B59" t="str">
            <v>Super -Teachers</v>
          </cell>
          <cell r="C59" t="str">
            <v>Employee expenditure</v>
          </cell>
          <cell r="D59" t="str">
            <v>MISCLASSIFIED? CHECK BEFORE PUBLICATION</v>
          </cell>
          <cell r="E59">
            <v>999999</v>
          </cell>
        </row>
        <row r="60">
          <cell r="A60">
            <v>100155</v>
          </cell>
          <cell r="B60" t="str">
            <v>Super -Tier 4 (Pct)</v>
          </cell>
          <cell r="C60" t="str">
            <v>Employee expenditure</v>
          </cell>
          <cell r="D60" t="str">
            <v>MISCLASSIFIED? CHECK BEFORE PUBLICATION</v>
          </cell>
          <cell r="E60">
            <v>999999</v>
          </cell>
        </row>
        <row r="61">
          <cell r="A61">
            <v>100156</v>
          </cell>
          <cell r="B61" t="str">
            <v>Super -Creche Worker</v>
          </cell>
          <cell r="C61" t="str">
            <v>Employee expenditure</v>
          </cell>
          <cell r="D61" t="str">
            <v>MISCLASSIFIED? CHECK BEFORE PUBLICATION</v>
          </cell>
          <cell r="E61">
            <v>999999</v>
          </cell>
        </row>
        <row r="62">
          <cell r="A62">
            <v>100157</v>
          </cell>
          <cell r="B62" t="str">
            <v>Super -Nursery Asst</v>
          </cell>
          <cell r="C62" t="str">
            <v>Employee expenditure</v>
          </cell>
          <cell r="D62" t="str">
            <v>MISCLASSIFIED? CHECK BEFORE PUBLICATION</v>
          </cell>
          <cell r="E62">
            <v>999999</v>
          </cell>
        </row>
        <row r="63">
          <cell r="A63">
            <v>100158</v>
          </cell>
          <cell r="B63" t="str">
            <v>Super -Teaching  Ass</v>
          </cell>
          <cell r="C63" t="str">
            <v>Employee expenditure</v>
          </cell>
          <cell r="D63" t="str">
            <v>MISCLASSIFIED? CHECK BEFORE PUBLICATION</v>
          </cell>
          <cell r="E63">
            <v>999999</v>
          </cell>
        </row>
        <row r="64">
          <cell r="A64">
            <v>100159</v>
          </cell>
          <cell r="B64" t="str">
            <v>Super - NHS trans</v>
          </cell>
          <cell r="C64" t="str">
            <v>Employee expenditure</v>
          </cell>
          <cell r="D64" t="str">
            <v>MISCLASSIFIED? CHECK BEFORE PUBLICATION</v>
          </cell>
          <cell r="E64">
            <v>999999</v>
          </cell>
        </row>
        <row r="65">
          <cell r="A65">
            <v>100190</v>
          </cell>
          <cell r="B65" t="str">
            <v>Lg Super-Frs17 Uplif</v>
          </cell>
          <cell r="C65" t="str">
            <v>MISCLASSIFIED? CHECK BEFORE PUBLICATION</v>
          </cell>
          <cell r="D65" t="str">
            <v>MISCLASSIFIED? CHECK BEFORE PUBLICATION</v>
          </cell>
          <cell r="E65">
            <v>999999</v>
          </cell>
        </row>
        <row r="66">
          <cell r="A66">
            <v>100191</v>
          </cell>
          <cell r="B66" t="str">
            <v>S/T Labour Direct</v>
          </cell>
          <cell r="C66" t="str">
            <v>Employee expenditure</v>
          </cell>
          <cell r="D66" t="str">
            <v>MISCLASSIFIED? CHECK BEFORE PUBLICATION</v>
          </cell>
          <cell r="E66">
            <v>999999</v>
          </cell>
        </row>
        <row r="67">
          <cell r="A67">
            <v>100192</v>
          </cell>
          <cell r="B67" t="str">
            <v>S/T Labour Credit</v>
          </cell>
          <cell r="C67" t="str">
            <v>Employee expenditure</v>
          </cell>
          <cell r="D67" t="str">
            <v>MISCLASSIFIED? CHECK BEFORE PUBLICATION</v>
          </cell>
          <cell r="E67">
            <v>999999</v>
          </cell>
        </row>
        <row r="68">
          <cell r="A68">
            <v>100193</v>
          </cell>
          <cell r="B68" t="str">
            <v>FRS17 Settlemt&amp; Curt</v>
          </cell>
          <cell r="C68" t="str">
            <v>MISCLASSIFIED? CHECK BEFORE PUBLICATION</v>
          </cell>
          <cell r="D68" t="str">
            <v>MISCLASSIFIED? CHECK BEFORE PUBLICATION</v>
          </cell>
          <cell r="E68">
            <v>999999</v>
          </cell>
        </row>
        <row r="69">
          <cell r="A69">
            <v>100194</v>
          </cell>
          <cell r="B69" t="str">
            <v>Accumulated absences</v>
          </cell>
          <cell r="C69" t="str">
            <v>MISCLASSIFIED? CHECK BEFORE PUBLICATION</v>
          </cell>
          <cell r="D69" t="str">
            <v>MISCLASSIFIED? CHECK BEFORE PUBLICATION</v>
          </cell>
          <cell r="E69">
            <v>999999</v>
          </cell>
        </row>
        <row r="70">
          <cell r="A70">
            <v>100195</v>
          </cell>
          <cell r="B70" t="str">
            <v>P-VACANCY MGT REQMT</v>
          </cell>
          <cell r="C70" t="str">
            <v>Employee expenditure</v>
          </cell>
          <cell r="D70" t="str">
            <v>MISCLASSIFIED? CHECK BEFORE PUBLICATION</v>
          </cell>
          <cell r="E70">
            <v>999999</v>
          </cell>
        </row>
        <row r="71">
          <cell r="A71">
            <v>100196</v>
          </cell>
          <cell r="B71" t="str">
            <v>Employee Provisions</v>
          </cell>
          <cell r="C71" t="str">
            <v>Employee expenditure</v>
          </cell>
          <cell r="D71" t="str">
            <v>MISCLASSIFIED? CHECK BEFORE PUBLICATION</v>
          </cell>
          <cell r="E71">
            <v>999999</v>
          </cell>
        </row>
        <row r="72">
          <cell r="A72">
            <v>100197</v>
          </cell>
          <cell r="D72" t="str">
            <v>MISCLASSIFIED? CHECK BEFORE PUBLICATION</v>
          </cell>
          <cell r="E72">
            <v>999999</v>
          </cell>
        </row>
        <row r="73">
          <cell r="A73">
            <v>100200</v>
          </cell>
          <cell r="B73" t="str">
            <v>Wages</v>
          </cell>
          <cell r="C73" t="str">
            <v>Employee expenditure</v>
          </cell>
          <cell r="D73" t="str">
            <v>MISCLASSIFIED? CHECK BEFORE PUBLICATION</v>
          </cell>
          <cell r="E73">
            <v>999999</v>
          </cell>
        </row>
        <row r="74">
          <cell r="A74">
            <v>100201</v>
          </cell>
          <cell r="B74" t="str">
            <v>Wages-Midday Super</v>
          </cell>
          <cell r="C74" t="str">
            <v>Employee expenditure</v>
          </cell>
          <cell r="D74" t="str">
            <v>MISCLASSIFIED? CHECK BEFORE PUBLICATION</v>
          </cell>
          <cell r="E74">
            <v>999999</v>
          </cell>
        </row>
        <row r="75">
          <cell r="A75">
            <v>100202</v>
          </cell>
          <cell r="B75" t="str">
            <v>Wages-Cleaners</v>
          </cell>
          <cell r="C75" t="str">
            <v>Employee expenditure</v>
          </cell>
          <cell r="D75" t="str">
            <v>MISCLASSIFIED? CHECK BEFORE PUBLICATION</v>
          </cell>
          <cell r="E75">
            <v>999999</v>
          </cell>
        </row>
        <row r="76">
          <cell r="A76">
            <v>100203</v>
          </cell>
          <cell r="B76" t="str">
            <v>Wages-Caretakers</v>
          </cell>
          <cell r="C76" t="str">
            <v>Employee expenditure</v>
          </cell>
          <cell r="D76" t="str">
            <v>MISCLASSIFIED? CHECK BEFORE PUBLICATION</v>
          </cell>
          <cell r="E76">
            <v>999999</v>
          </cell>
        </row>
        <row r="77">
          <cell r="A77">
            <v>100204</v>
          </cell>
          <cell r="B77" t="str">
            <v>Wages-Midday Asst</v>
          </cell>
          <cell r="C77" t="str">
            <v>Employee expenditure</v>
          </cell>
          <cell r="D77" t="str">
            <v>MISCLASSIFIED? CHECK BEFORE PUBLICATION</v>
          </cell>
          <cell r="E77">
            <v>999999</v>
          </cell>
        </row>
        <row r="78">
          <cell r="A78">
            <v>100205</v>
          </cell>
          <cell r="B78" t="str">
            <v>Bonus</v>
          </cell>
          <cell r="C78" t="str">
            <v>Employee expenditure</v>
          </cell>
          <cell r="D78" t="str">
            <v>MISCLASSIFIED? CHECK BEFORE PUBLICATION</v>
          </cell>
          <cell r="E78">
            <v>999999</v>
          </cell>
        </row>
        <row r="79">
          <cell r="A79">
            <v>100206</v>
          </cell>
          <cell r="B79" t="str">
            <v>Wages-Kitchen Staff</v>
          </cell>
          <cell r="C79" t="str">
            <v>Employee expenditure</v>
          </cell>
          <cell r="D79" t="str">
            <v>MISCLASSIFIED? CHECK BEFORE PUBLICATION</v>
          </cell>
          <cell r="E79">
            <v>999999</v>
          </cell>
        </row>
        <row r="80">
          <cell r="A80">
            <v>100207</v>
          </cell>
          <cell r="B80" t="str">
            <v>Wages-Social Priorty</v>
          </cell>
          <cell r="C80" t="str">
            <v>Employee expenditure</v>
          </cell>
          <cell r="D80" t="str">
            <v>MISCLASSIFIED? CHECK BEFORE PUBLICATION</v>
          </cell>
          <cell r="E80">
            <v>999999</v>
          </cell>
        </row>
        <row r="81">
          <cell r="A81">
            <v>100210</v>
          </cell>
          <cell r="B81" t="str">
            <v>Bureau Ad Staff-SMBC</v>
          </cell>
          <cell r="C81" t="str">
            <v>Employee expenditure</v>
          </cell>
          <cell r="D81" t="str">
            <v>MISCLASSIFIED? CHECK BEFORE PUBLICATION</v>
          </cell>
          <cell r="E81">
            <v>999999</v>
          </cell>
        </row>
        <row r="82">
          <cell r="A82">
            <v>100211</v>
          </cell>
          <cell r="B82" t="str">
            <v>Sals-Ancillary S.A+</v>
          </cell>
          <cell r="C82" t="str">
            <v>Employee expenditure</v>
          </cell>
          <cell r="D82" t="str">
            <v>MISCLASSIFIED? CHECK BEFORE PUBLICATION</v>
          </cell>
          <cell r="E82">
            <v>999999</v>
          </cell>
        </row>
        <row r="83">
          <cell r="A83">
            <v>100212</v>
          </cell>
          <cell r="B83" t="str">
            <v>Sals-Foreign Languag</v>
          </cell>
          <cell r="C83" t="str">
            <v>Employee expenditure</v>
          </cell>
          <cell r="D83" t="str">
            <v>MISCLASSIFIED? CHECK BEFORE PUBLICATION</v>
          </cell>
          <cell r="E83">
            <v>999999</v>
          </cell>
        </row>
        <row r="84">
          <cell r="A84">
            <v>100213</v>
          </cell>
          <cell r="B84" t="str">
            <v>SW-WEEKLY LD Bureau</v>
          </cell>
          <cell r="C84" t="str">
            <v>Employee expenditure</v>
          </cell>
          <cell r="D84" t="str">
            <v>MISCLASSIFIED? CHECK BEFORE PUBLICATION</v>
          </cell>
          <cell r="E84">
            <v>999999</v>
          </cell>
        </row>
        <row r="85">
          <cell r="A85">
            <v>100214</v>
          </cell>
          <cell r="B85" t="str">
            <v>FD Sickness</v>
          </cell>
          <cell r="C85" t="str">
            <v>Employee expenditure</v>
          </cell>
          <cell r="D85" t="str">
            <v>MISCLASSIFIED? CHECK BEFORE PUBLICATION</v>
          </cell>
          <cell r="E85">
            <v>999999</v>
          </cell>
        </row>
        <row r="86">
          <cell r="A86">
            <v>100215</v>
          </cell>
          <cell r="B86" t="str">
            <v>FD Misc</v>
          </cell>
          <cell r="C86" t="str">
            <v>Employee expenditure</v>
          </cell>
          <cell r="D86" t="str">
            <v>MISCLASSIFIED? CHECK BEFORE PUBLICATION</v>
          </cell>
          <cell r="E86">
            <v>999999</v>
          </cell>
        </row>
        <row r="87">
          <cell r="A87">
            <v>100216</v>
          </cell>
          <cell r="B87" t="str">
            <v>HD Sickness</v>
          </cell>
          <cell r="C87" t="str">
            <v>Employee expenditure</v>
          </cell>
          <cell r="D87" t="str">
            <v>MISCLASSIFIED? CHECK BEFORE PUBLICATION</v>
          </cell>
          <cell r="E87">
            <v>999999</v>
          </cell>
        </row>
        <row r="88">
          <cell r="A88">
            <v>100217</v>
          </cell>
          <cell r="B88" t="str">
            <v>HD MISC</v>
          </cell>
          <cell r="C88" t="str">
            <v>Employee expenditure</v>
          </cell>
          <cell r="D88" t="str">
            <v>MISCLASSIFIED? CHECK BEFORE PUBLICATION</v>
          </cell>
          <cell r="E88">
            <v>999999</v>
          </cell>
        </row>
        <row r="89">
          <cell r="A89">
            <v>100218</v>
          </cell>
          <cell r="B89" t="str">
            <v>SW -MONTHLY LD Burea</v>
          </cell>
          <cell r="C89" t="str">
            <v>Employee expenditure</v>
          </cell>
          <cell r="D89" t="str">
            <v>MISCLASSIFIED? CHECK BEFORE PUBLICATION</v>
          </cell>
          <cell r="E89">
            <v>999999</v>
          </cell>
        </row>
        <row r="90">
          <cell r="A90">
            <v>100220</v>
          </cell>
          <cell r="B90" t="str">
            <v>NI-Wages</v>
          </cell>
          <cell r="C90" t="str">
            <v>Employee expenditure</v>
          </cell>
          <cell r="D90" t="str">
            <v>MISCLASSIFIED? CHECK BEFORE PUBLICATION</v>
          </cell>
          <cell r="E90">
            <v>999999</v>
          </cell>
        </row>
        <row r="91">
          <cell r="A91">
            <v>100221</v>
          </cell>
          <cell r="B91" t="str">
            <v>NI-Midday Supervisor</v>
          </cell>
          <cell r="C91" t="str">
            <v>Employee expenditure</v>
          </cell>
          <cell r="D91" t="str">
            <v>MISCLASSIFIED? CHECK BEFORE PUBLICATION</v>
          </cell>
          <cell r="E91">
            <v>999999</v>
          </cell>
        </row>
        <row r="92">
          <cell r="A92">
            <v>100222</v>
          </cell>
          <cell r="B92" t="str">
            <v>NI-Cleaners</v>
          </cell>
          <cell r="C92" t="str">
            <v>Employee expenditure</v>
          </cell>
          <cell r="D92" t="str">
            <v>MISCLASSIFIED? CHECK BEFORE PUBLICATION</v>
          </cell>
          <cell r="E92">
            <v>999999</v>
          </cell>
        </row>
        <row r="93">
          <cell r="A93">
            <v>100223</v>
          </cell>
          <cell r="B93" t="str">
            <v>NI-Caretakers</v>
          </cell>
          <cell r="C93" t="str">
            <v>Employee expenditure</v>
          </cell>
          <cell r="D93" t="str">
            <v>MISCLASSIFIED? CHECK BEFORE PUBLICATION</v>
          </cell>
          <cell r="E93">
            <v>999999</v>
          </cell>
        </row>
        <row r="94">
          <cell r="A94">
            <v>100224</v>
          </cell>
          <cell r="B94" t="str">
            <v>NI- Midday Asst</v>
          </cell>
          <cell r="C94" t="str">
            <v>Employee expenditure</v>
          </cell>
          <cell r="D94" t="str">
            <v>MISCLASSIFIED? CHECK BEFORE PUBLICATION</v>
          </cell>
          <cell r="E94">
            <v>999999</v>
          </cell>
        </row>
        <row r="95">
          <cell r="A95">
            <v>100225</v>
          </cell>
          <cell r="B95" t="str">
            <v>NI - Bonus</v>
          </cell>
          <cell r="C95" t="str">
            <v>Employee expenditure</v>
          </cell>
          <cell r="D95" t="str">
            <v>MISCLASSIFIED? CHECK BEFORE PUBLICATION</v>
          </cell>
          <cell r="E95">
            <v>999999</v>
          </cell>
        </row>
        <row r="96">
          <cell r="A96">
            <v>100226</v>
          </cell>
          <cell r="B96" t="str">
            <v>NI - Kitchen Staff</v>
          </cell>
          <cell r="C96" t="str">
            <v>Employee expenditure</v>
          </cell>
          <cell r="D96" t="str">
            <v>MISCLASSIFIED? CHECK BEFORE PUBLICATION</v>
          </cell>
          <cell r="E96">
            <v>999999</v>
          </cell>
        </row>
        <row r="97">
          <cell r="A97">
            <v>100227</v>
          </cell>
          <cell r="B97" t="str">
            <v>NI - Social Priority</v>
          </cell>
          <cell r="C97" t="str">
            <v>Employee expenditure</v>
          </cell>
          <cell r="D97" t="str">
            <v>MISCLASSIFIED? CHECK BEFORE PUBLICATION</v>
          </cell>
          <cell r="E97">
            <v>999999</v>
          </cell>
        </row>
        <row r="98">
          <cell r="A98">
            <v>100230</v>
          </cell>
          <cell r="B98" t="str">
            <v>NI - Bureau Staff</v>
          </cell>
          <cell r="C98" t="str">
            <v>Employee expenditure</v>
          </cell>
          <cell r="D98" t="str">
            <v>MISCLASSIFIED? CHECK BEFORE PUBLICATION</v>
          </cell>
          <cell r="E98">
            <v>999999</v>
          </cell>
        </row>
        <row r="99">
          <cell r="A99">
            <v>100231</v>
          </cell>
          <cell r="B99" t="str">
            <v>NI - Ancillary S.A+</v>
          </cell>
          <cell r="C99" t="str">
            <v>Employee expenditure</v>
          </cell>
          <cell r="D99" t="str">
            <v>MISCLASSIFIED? CHECK BEFORE PUBLICATION</v>
          </cell>
          <cell r="E99">
            <v>999999</v>
          </cell>
        </row>
        <row r="100">
          <cell r="A100">
            <v>100232</v>
          </cell>
          <cell r="B100" t="str">
            <v>NI - Foreign Languag</v>
          </cell>
          <cell r="C100" t="str">
            <v>Employee expenditure</v>
          </cell>
          <cell r="D100" t="str">
            <v>MISCLASSIFIED? CHECK BEFORE PUBLICATION</v>
          </cell>
          <cell r="E100">
            <v>999999</v>
          </cell>
        </row>
        <row r="101">
          <cell r="A101">
            <v>100233</v>
          </cell>
          <cell r="B101" t="str">
            <v>NI -SUPPORT WORKERS</v>
          </cell>
          <cell r="C101" t="str">
            <v>Employee expenditure</v>
          </cell>
          <cell r="D101" t="str">
            <v>MISCLASSIFIED? CHECK BEFORE PUBLICATION</v>
          </cell>
          <cell r="E101">
            <v>999999</v>
          </cell>
        </row>
        <row r="102">
          <cell r="A102">
            <v>100234</v>
          </cell>
          <cell r="B102" t="str">
            <v>NI -FD Sickness</v>
          </cell>
          <cell r="C102" t="str">
            <v>Employee expenditure</v>
          </cell>
          <cell r="D102" t="str">
            <v>MISCLASSIFIED? CHECK BEFORE PUBLICATION</v>
          </cell>
          <cell r="E102">
            <v>999999</v>
          </cell>
        </row>
        <row r="103">
          <cell r="A103">
            <v>100235</v>
          </cell>
          <cell r="B103" t="str">
            <v>NI -FD Misc</v>
          </cell>
          <cell r="C103" t="str">
            <v>Employee expenditure</v>
          </cell>
          <cell r="D103" t="str">
            <v>MISCLASSIFIED? CHECK BEFORE PUBLICATION</v>
          </cell>
          <cell r="E103">
            <v>999999</v>
          </cell>
        </row>
        <row r="104">
          <cell r="A104">
            <v>100236</v>
          </cell>
          <cell r="B104" t="str">
            <v>NI -HD Sickness</v>
          </cell>
          <cell r="C104" t="str">
            <v>Employee expenditure</v>
          </cell>
          <cell r="D104" t="str">
            <v>MISCLASSIFIED? CHECK BEFORE PUBLICATION</v>
          </cell>
          <cell r="E104">
            <v>999999</v>
          </cell>
        </row>
        <row r="105">
          <cell r="A105">
            <v>100237</v>
          </cell>
          <cell r="B105" t="str">
            <v>NI - HD Misc</v>
          </cell>
          <cell r="C105" t="str">
            <v>Employee expenditure</v>
          </cell>
          <cell r="D105" t="str">
            <v>MISCLASSIFIED? CHECK BEFORE PUBLICATION</v>
          </cell>
          <cell r="E105">
            <v>999999</v>
          </cell>
        </row>
        <row r="106">
          <cell r="A106">
            <v>100238</v>
          </cell>
          <cell r="B106" t="str">
            <v>NI - LD mthly Bureau</v>
          </cell>
          <cell r="C106" t="str">
            <v>Employee expenditure</v>
          </cell>
          <cell r="D106" t="str">
            <v>MISCLASSIFIED? CHECK BEFORE PUBLICATION</v>
          </cell>
          <cell r="E106">
            <v>999999</v>
          </cell>
        </row>
        <row r="107">
          <cell r="A107">
            <v>100240</v>
          </cell>
          <cell r="B107" t="str">
            <v>Super-Wages</v>
          </cell>
          <cell r="C107" t="str">
            <v>Employee expenditure</v>
          </cell>
          <cell r="D107" t="str">
            <v>MISCLASSIFIED? CHECK BEFORE PUBLICATION</v>
          </cell>
          <cell r="E107">
            <v>999999</v>
          </cell>
        </row>
        <row r="108">
          <cell r="A108">
            <v>100241</v>
          </cell>
          <cell r="B108" t="str">
            <v>Super-Midday Super</v>
          </cell>
          <cell r="C108" t="str">
            <v>Employee expenditure</v>
          </cell>
          <cell r="D108" t="str">
            <v>MISCLASSIFIED? CHECK BEFORE PUBLICATION</v>
          </cell>
          <cell r="E108">
            <v>999999</v>
          </cell>
        </row>
        <row r="109">
          <cell r="A109">
            <v>100242</v>
          </cell>
          <cell r="B109" t="str">
            <v>Super-Cleaners</v>
          </cell>
          <cell r="C109" t="str">
            <v>Employee expenditure</v>
          </cell>
          <cell r="D109" t="str">
            <v>MISCLASSIFIED? CHECK BEFORE PUBLICATION</v>
          </cell>
          <cell r="E109">
            <v>999999</v>
          </cell>
        </row>
        <row r="110">
          <cell r="A110">
            <v>100243</v>
          </cell>
          <cell r="B110" t="str">
            <v>Super-Caretakers</v>
          </cell>
          <cell r="C110" t="str">
            <v>Employee expenditure</v>
          </cell>
          <cell r="D110" t="str">
            <v>MISCLASSIFIED? CHECK BEFORE PUBLICATION</v>
          </cell>
          <cell r="E110">
            <v>999999</v>
          </cell>
        </row>
        <row r="111">
          <cell r="A111">
            <v>100244</v>
          </cell>
          <cell r="B111" t="str">
            <v>Super-Midday Assist</v>
          </cell>
          <cell r="C111" t="str">
            <v>Employee expenditure</v>
          </cell>
          <cell r="D111" t="str">
            <v>MISCLASSIFIED? CHECK BEFORE PUBLICATION</v>
          </cell>
          <cell r="E111">
            <v>999999</v>
          </cell>
        </row>
        <row r="112">
          <cell r="A112">
            <v>100245</v>
          </cell>
          <cell r="B112" t="str">
            <v>Super - Bonus</v>
          </cell>
          <cell r="C112" t="str">
            <v>Employee expenditure</v>
          </cell>
          <cell r="D112" t="str">
            <v>MISCLASSIFIED? CHECK BEFORE PUBLICATION</v>
          </cell>
          <cell r="E112">
            <v>999999</v>
          </cell>
        </row>
        <row r="113">
          <cell r="A113">
            <v>100246</v>
          </cell>
          <cell r="B113" t="str">
            <v>Super - Kitchen Staf</v>
          </cell>
          <cell r="C113" t="str">
            <v>Employee expenditure</v>
          </cell>
          <cell r="D113" t="str">
            <v>MISCLASSIFIED? CHECK BEFORE PUBLICATION</v>
          </cell>
          <cell r="E113">
            <v>999999</v>
          </cell>
        </row>
        <row r="114">
          <cell r="A114">
            <v>100247</v>
          </cell>
          <cell r="B114" t="str">
            <v>Super -Social Priori</v>
          </cell>
          <cell r="C114" t="str">
            <v>Employee expenditure</v>
          </cell>
          <cell r="D114" t="str">
            <v>MISCLASSIFIED? CHECK BEFORE PUBLICATION</v>
          </cell>
          <cell r="E114">
            <v>999999</v>
          </cell>
        </row>
        <row r="115">
          <cell r="A115">
            <v>100250</v>
          </cell>
          <cell r="B115" t="str">
            <v>Super -Bureau staff</v>
          </cell>
          <cell r="C115" t="str">
            <v>Employee expenditure</v>
          </cell>
          <cell r="D115" t="str">
            <v>MISCLASSIFIED? CHECK BEFORE PUBLICATION</v>
          </cell>
          <cell r="E115">
            <v>999999</v>
          </cell>
        </row>
        <row r="116">
          <cell r="A116">
            <v>100251</v>
          </cell>
          <cell r="B116" t="str">
            <v>Super -Ancillary S.A</v>
          </cell>
          <cell r="C116" t="str">
            <v>Employee expenditure</v>
          </cell>
          <cell r="D116" t="str">
            <v>MISCLASSIFIED? CHECK BEFORE PUBLICATION</v>
          </cell>
          <cell r="E116">
            <v>999999</v>
          </cell>
        </row>
        <row r="117">
          <cell r="A117">
            <v>100252</v>
          </cell>
          <cell r="B117" t="str">
            <v>Super -Foreign Lang</v>
          </cell>
          <cell r="C117" t="str">
            <v>Employee expenditure</v>
          </cell>
          <cell r="D117" t="str">
            <v>MISCLASSIFIED? CHECK BEFORE PUBLICATION</v>
          </cell>
          <cell r="E117">
            <v>999999</v>
          </cell>
        </row>
        <row r="118">
          <cell r="A118">
            <v>100253</v>
          </cell>
          <cell r="B118" t="str">
            <v>Super -LD support</v>
          </cell>
          <cell r="C118" t="str">
            <v>Employee expenditure</v>
          </cell>
          <cell r="D118" t="str">
            <v>MISCLASSIFIED? CHECK BEFORE PUBLICATION</v>
          </cell>
          <cell r="E118">
            <v>999999</v>
          </cell>
        </row>
        <row r="119">
          <cell r="A119">
            <v>100254</v>
          </cell>
          <cell r="B119" t="str">
            <v>Super-FD Sickness</v>
          </cell>
          <cell r="C119" t="str">
            <v>Employee expenditure</v>
          </cell>
          <cell r="D119" t="str">
            <v>MISCLASSIFIED? CHECK BEFORE PUBLICATION</v>
          </cell>
          <cell r="E119">
            <v>999999</v>
          </cell>
        </row>
        <row r="120">
          <cell r="A120">
            <v>100255</v>
          </cell>
          <cell r="B120" t="str">
            <v>Sup- FD Misc</v>
          </cell>
          <cell r="C120" t="str">
            <v>Employee expenditure</v>
          </cell>
          <cell r="D120" t="str">
            <v>MISCLASSIFIED? CHECK BEFORE PUBLICATION</v>
          </cell>
          <cell r="E120">
            <v>999999</v>
          </cell>
        </row>
        <row r="121">
          <cell r="A121">
            <v>100256</v>
          </cell>
          <cell r="B121" t="str">
            <v>Sup-HD Sickness</v>
          </cell>
          <cell r="C121" t="str">
            <v>Employee expenditure</v>
          </cell>
          <cell r="D121" t="str">
            <v>MISCLASSIFIED? CHECK BEFORE PUBLICATION</v>
          </cell>
          <cell r="E121">
            <v>999999</v>
          </cell>
        </row>
        <row r="122">
          <cell r="A122">
            <v>100257</v>
          </cell>
          <cell r="B122" t="str">
            <v>Super - HD Misc</v>
          </cell>
          <cell r="C122" t="str">
            <v>Employee expenditure</v>
          </cell>
          <cell r="D122" t="str">
            <v>MISCLASSIFIED? CHECK BEFORE PUBLICATION</v>
          </cell>
          <cell r="E122">
            <v>999999</v>
          </cell>
        </row>
        <row r="123">
          <cell r="A123">
            <v>100258</v>
          </cell>
          <cell r="B123" t="str">
            <v>Super-Support LD Mth</v>
          </cell>
          <cell r="C123" t="str">
            <v>Employee expenditure</v>
          </cell>
          <cell r="D123" t="str">
            <v>MISCLASSIFIED? CHECK BEFORE PUBLICATION</v>
          </cell>
          <cell r="E123">
            <v>999999</v>
          </cell>
        </row>
        <row r="124">
          <cell r="A124">
            <v>100290</v>
          </cell>
          <cell r="B124" t="str">
            <v>Agency Staff-Invoice</v>
          </cell>
          <cell r="C124" t="str">
            <v>Employee expenditure</v>
          </cell>
          <cell r="D124" t="str">
            <v>Agency Staff</v>
          </cell>
          <cell r="E124">
            <v>261400</v>
          </cell>
        </row>
        <row r="125">
          <cell r="A125">
            <v>100300</v>
          </cell>
          <cell r="B125" t="str">
            <v>Overtime</v>
          </cell>
          <cell r="C125" t="str">
            <v>Employee expenditure</v>
          </cell>
          <cell r="D125" t="str">
            <v>MISCLASSIFIED? CHECK BEFORE PUBLICATION</v>
          </cell>
          <cell r="E125">
            <v>999999</v>
          </cell>
        </row>
        <row r="126">
          <cell r="A126">
            <v>100301</v>
          </cell>
          <cell r="B126" t="str">
            <v>Maternity</v>
          </cell>
          <cell r="C126" t="str">
            <v>Employee expenditure</v>
          </cell>
          <cell r="D126" t="str">
            <v>MISCLASSIFIED? CHECK BEFORE PUBLICATION</v>
          </cell>
          <cell r="E126">
            <v>999999</v>
          </cell>
        </row>
        <row r="127">
          <cell r="A127">
            <v>100302</v>
          </cell>
          <cell r="B127" t="str">
            <v>Staff Meals</v>
          </cell>
          <cell r="C127" t="str">
            <v>Employee expenditure</v>
          </cell>
          <cell r="D127" t="str">
            <v>MISCLASSIFIED? CHECK BEFORE PUBLICATION</v>
          </cell>
          <cell r="E127">
            <v>999999</v>
          </cell>
        </row>
        <row r="128">
          <cell r="A128">
            <v>100303</v>
          </cell>
          <cell r="B128" t="str">
            <v>Staff Parking Permit</v>
          </cell>
          <cell r="C128" t="str">
            <v>Employee expenditure</v>
          </cell>
          <cell r="D128" t="str">
            <v>MISCLASSIFIED? CHECK BEFORE PUBLICATION</v>
          </cell>
          <cell r="E128">
            <v>999999</v>
          </cell>
        </row>
        <row r="129">
          <cell r="A129">
            <v>100304</v>
          </cell>
          <cell r="B129" t="str">
            <v>Other Payments</v>
          </cell>
          <cell r="C129" t="str">
            <v>Employee expenditure</v>
          </cell>
          <cell r="D129" t="str">
            <v>Other Payments</v>
          </cell>
          <cell r="E129">
            <v>260000</v>
          </cell>
        </row>
        <row r="130">
          <cell r="A130">
            <v>100305</v>
          </cell>
          <cell r="B130" t="str">
            <v>Payroll-Other Susp</v>
          </cell>
          <cell r="C130" t="str">
            <v>Employee expenditure</v>
          </cell>
          <cell r="D130" t="str">
            <v>MISCLASSIFIED? CHECK BEFORE PUBLICATION</v>
          </cell>
          <cell r="E130">
            <v>999999</v>
          </cell>
        </row>
        <row r="131">
          <cell r="A131">
            <v>100306</v>
          </cell>
          <cell r="B131" t="str">
            <v>Lg Super-Add'L Conts</v>
          </cell>
          <cell r="C131" t="str">
            <v>Employee expenditure</v>
          </cell>
          <cell r="D131" t="str">
            <v>MISCLASSIFIED? CHECK BEFORE PUBLICATION</v>
          </cell>
          <cell r="E131">
            <v>999999</v>
          </cell>
        </row>
        <row r="132">
          <cell r="A132">
            <v>100307</v>
          </cell>
          <cell r="B132" t="str">
            <v>Salaries-Protected</v>
          </cell>
          <cell r="C132" t="str">
            <v>Employee expenditure</v>
          </cell>
          <cell r="D132" t="str">
            <v>MISCLASSIFIED? CHECK BEFORE PUBLICATION</v>
          </cell>
          <cell r="E132">
            <v>999999</v>
          </cell>
        </row>
        <row r="133">
          <cell r="A133">
            <v>100310</v>
          </cell>
          <cell r="B133" t="str">
            <v>Teachers -Sickness</v>
          </cell>
          <cell r="C133" t="str">
            <v>Employee expenditure</v>
          </cell>
          <cell r="D133" t="str">
            <v>MISCLASSIFIED? CHECK BEFORE PUBLICATION</v>
          </cell>
          <cell r="E133">
            <v>999999</v>
          </cell>
        </row>
        <row r="134">
          <cell r="A134">
            <v>100320</v>
          </cell>
          <cell r="B134" t="str">
            <v>NI - Overtime</v>
          </cell>
          <cell r="C134" t="str">
            <v>Employee expenditure</v>
          </cell>
          <cell r="D134" t="str">
            <v>MISCLASSIFIED? CHECK BEFORE PUBLICATION</v>
          </cell>
          <cell r="E134">
            <v>999999</v>
          </cell>
        </row>
        <row r="135">
          <cell r="A135">
            <v>100321</v>
          </cell>
          <cell r="B135" t="str">
            <v>NI - MaterNIty</v>
          </cell>
          <cell r="C135" t="str">
            <v>Employee expenditure</v>
          </cell>
          <cell r="D135" t="str">
            <v>MISCLASSIFIED? CHECK BEFORE PUBLICATION</v>
          </cell>
          <cell r="E135">
            <v>999999</v>
          </cell>
        </row>
        <row r="136">
          <cell r="A136">
            <v>100327</v>
          </cell>
          <cell r="B136" t="str">
            <v>NI- Protected</v>
          </cell>
          <cell r="C136" t="str">
            <v>Employee expenditure</v>
          </cell>
          <cell r="D136" t="str">
            <v>MISCLASSIFIED? CHECK BEFORE PUBLICATION</v>
          </cell>
          <cell r="E136">
            <v>999999</v>
          </cell>
        </row>
        <row r="137">
          <cell r="A137">
            <v>100330</v>
          </cell>
          <cell r="B137" t="str">
            <v>NI - Teachers Sick</v>
          </cell>
          <cell r="C137" t="str">
            <v>Employee expenditure</v>
          </cell>
          <cell r="D137" t="str">
            <v>MISCLASSIFIED? CHECK BEFORE PUBLICATION</v>
          </cell>
          <cell r="E137">
            <v>999999</v>
          </cell>
        </row>
        <row r="138">
          <cell r="A138">
            <v>100340</v>
          </cell>
          <cell r="B138" t="str">
            <v>Super - Overtime</v>
          </cell>
          <cell r="C138" t="str">
            <v>Employee expenditure</v>
          </cell>
          <cell r="D138" t="str">
            <v>MISCLASSIFIED? CHECK BEFORE PUBLICATION</v>
          </cell>
          <cell r="E138">
            <v>999999</v>
          </cell>
        </row>
        <row r="139">
          <cell r="A139">
            <v>100341</v>
          </cell>
          <cell r="B139" t="str">
            <v>Super - Maternity</v>
          </cell>
          <cell r="C139" t="str">
            <v>Employee expenditure</v>
          </cell>
          <cell r="D139" t="str">
            <v>MISCLASSIFIED? CHECK BEFORE PUBLICATION</v>
          </cell>
          <cell r="E139">
            <v>999999</v>
          </cell>
        </row>
        <row r="140">
          <cell r="A140">
            <v>100347</v>
          </cell>
          <cell r="B140" t="str">
            <v>Super- Protected</v>
          </cell>
          <cell r="C140" t="str">
            <v>Employee expenditure</v>
          </cell>
          <cell r="D140" t="str">
            <v>MISCLASSIFIED? CHECK BEFORE PUBLICATION</v>
          </cell>
          <cell r="E140">
            <v>999999</v>
          </cell>
        </row>
        <row r="141">
          <cell r="A141">
            <v>100350</v>
          </cell>
          <cell r="B141" t="str">
            <v>Super -Teachers Sick</v>
          </cell>
          <cell r="C141" t="str">
            <v>Employee expenditure</v>
          </cell>
          <cell r="D141" t="str">
            <v>MISCLASSIFIED? CHECK BEFORE PUBLICATION</v>
          </cell>
          <cell r="E141">
            <v>999999</v>
          </cell>
        </row>
        <row r="142">
          <cell r="A142">
            <v>100370</v>
          </cell>
          <cell r="B142" t="str">
            <v>Trade Union Deds</v>
          </cell>
          <cell r="C142" t="str">
            <v>Employee expenditure</v>
          </cell>
          <cell r="D142" t="str">
            <v>MISCLASSIFIED? CHECK BEFORE PUBLICATION</v>
          </cell>
          <cell r="E142">
            <v>999999</v>
          </cell>
        </row>
        <row r="143">
          <cell r="A143">
            <v>100378</v>
          </cell>
          <cell r="B143" t="str">
            <v>Gtc Deductions</v>
          </cell>
          <cell r="C143" t="str">
            <v>Employee expenditure</v>
          </cell>
          <cell r="D143" t="str">
            <v>MISCLASSIFIED? CHECK BEFORE PUBLICATION</v>
          </cell>
          <cell r="E143">
            <v>999999</v>
          </cell>
        </row>
        <row r="144">
          <cell r="A144">
            <v>100398</v>
          </cell>
          <cell r="B144" t="str">
            <v>Ni-Gtc Deductions</v>
          </cell>
          <cell r="C144" t="str">
            <v>Employee expenditure</v>
          </cell>
          <cell r="D144" t="str">
            <v>MISCLASSIFIED? CHECK BEFORE PUBLICATION</v>
          </cell>
          <cell r="E144">
            <v>999999</v>
          </cell>
        </row>
        <row r="145">
          <cell r="A145">
            <v>100400</v>
          </cell>
          <cell r="B145" t="str">
            <v>Ep-Returning Officer</v>
          </cell>
          <cell r="C145" t="str">
            <v>Employee expenditure</v>
          </cell>
          <cell r="D145" t="str">
            <v>MISCLASSIFIED? CHECK BEFORE PUBLICATION</v>
          </cell>
          <cell r="E145">
            <v>999999</v>
          </cell>
        </row>
        <row r="146">
          <cell r="A146">
            <v>100401</v>
          </cell>
          <cell r="B146" t="str">
            <v>Ep-Dep Returning Off</v>
          </cell>
          <cell r="C146" t="str">
            <v>Employee expenditure</v>
          </cell>
          <cell r="D146" t="str">
            <v>MISCLASSIFIED? CHECK BEFORE PUBLICATION</v>
          </cell>
          <cell r="E146">
            <v>999999</v>
          </cell>
        </row>
        <row r="147">
          <cell r="A147">
            <v>100402</v>
          </cell>
          <cell r="B147" t="str">
            <v>Ep-Poll Clerks</v>
          </cell>
          <cell r="C147" t="str">
            <v>Employee expenditure</v>
          </cell>
          <cell r="D147" t="str">
            <v>MISCLASSIFIED? CHECK BEFORE PUBLICATION</v>
          </cell>
          <cell r="E147">
            <v>999999</v>
          </cell>
        </row>
        <row r="148">
          <cell r="A148">
            <v>100403</v>
          </cell>
          <cell r="B148" t="str">
            <v>Ep-Other Staff Costs</v>
          </cell>
          <cell r="C148" t="str">
            <v>Employee expenditure</v>
          </cell>
          <cell r="D148" t="str">
            <v>MISCLASSIFIED? CHECK BEFORE PUBLICATION</v>
          </cell>
          <cell r="E148">
            <v>999999</v>
          </cell>
        </row>
        <row r="149">
          <cell r="A149">
            <v>100404</v>
          </cell>
          <cell r="B149" t="str">
            <v>Ep-Presiding Officer</v>
          </cell>
          <cell r="C149" t="str">
            <v>Employee expenditure</v>
          </cell>
          <cell r="D149" t="str">
            <v>MISCLASSIFIED? CHECK BEFORE PUBLICATION</v>
          </cell>
          <cell r="E149">
            <v>999999</v>
          </cell>
        </row>
        <row r="150">
          <cell r="A150">
            <v>100410</v>
          </cell>
          <cell r="B150" t="str">
            <v>Ep-income tax on EPs</v>
          </cell>
          <cell r="C150" t="str">
            <v>Employee expenditure</v>
          </cell>
          <cell r="D150" t="str">
            <v>MISCLASSIFIED? CHECK BEFORE PUBLICATION</v>
          </cell>
          <cell r="E150">
            <v>999999</v>
          </cell>
        </row>
        <row r="151">
          <cell r="A151">
            <v>100418</v>
          </cell>
          <cell r="B151" t="str">
            <v>Super-Gtc Deductions</v>
          </cell>
          <cell r="C151" t="str">
            <v>Employee expenditure</v>
          </cell>
          <cell r="D151" t="str">
            <v>MISCLASSIFIED? CHECK BEFORE PUBLICATION</v>
          </cell>
          <cell r="E151">
            <v>999999</v>
          </cell>
        </row>
        <row r="152">
          <cell r="A152">
            <v>102010</v>
          </cell>
          <cell r="B152" t="str">
            <v>Relocation Expenses</v>
          </cell>
          <cell r="C152" t="str">
            <v>Employee expenditure</v>
          </cell>
          <cell r="D152" t="str">
            <v>Relocation Expenses</v>
          </cell>
          <cell r="E152">
            <v>999999</v>
          </cell>
        </row>
        <row r="153">
          <cell r="A153">
            <v>102020</v>
          </cell>
          <cell r="B153" t="str">
            <v>Staff Training</v>
          </cell>
          <cell r="C153" t="str">
            <v>Employee expenditure</v>
          </cell>
          <cell r="D153" t="str">
            <v>Staff Training</v>
          </cell>
          <cell r="E153">
            <v>260000</v>
          </cell>
        </row>
        <row r="154">
          <cell r="A154">
            <v>102021</v>
          </cell>
          <cell r="B154" t="str">
            <v>Training Election St</v>
          </cell>
          <cell r="C154" t="str">
            <v>Employee expenditure</v>
          </cell>
          <cell r="D154" t="str">
            <v>Elections Expenditure</v>
          </cell>
          <cell r="E154">
            <v>261500</v>
          </cell>
        </row>
        <row r="155">
          <cell r="A155">
            <v>102022</v>
          </cell>
          <cell r="B155" t="str">
            <v>Train-Poll Clerk</v>
          </cell>
          <cell r="C155" t="str">
            <v>Employee expenditure</v>
          </cell>
          <cell r="D155" t="str">
            <v>Elections Expenditure</v>
          </cell>
          <cell r="E155">
            <v>261500</v>
          </cell>
        </row>
        <row r="156">
          <cell r="A156">
            <v>102023</v>
          </cell>
          <cell r="B156" t="str">
            <v>Train-Returning Off</v>
          </cell>
          <cell r="C156" t="str">
            <v>Employee expenditure</v>
          </cell>
          <cell r="D156" t="str">
            <v>Elections Expenditure</v>
          </cell>
          <cell r="E156">
            <v>261500</v>
          </cell>
        </row>
        <row r="157">
          <cell r="A157">
            <v>102030</v>
          </cell>
          <cell r="B157" t="str">
            <v>Interview Expenses</v>
          </cell>
          <cell r="C157" t="str">
            <v>Employee expenditure</v>
          </cell>
          <cell r="D157" t="str">
            <v>MISCLASSIFIED? CHECK BEFORE PUBLICATION</v>
          </cell>
          <cell r="E157">
            <v>999999</v>
          </cell>
        </row>
        <row r="158">
          <cell r="A158">
            <v>102040</v>
          </cell>
          <cell r="B158" t="str">
            <v>Staff Advertising</v>
          </cell>
          <cell r="C158" t="str">
            <v>Employee expenditure</v>
          </cell>
          <cell r="D158" t="str">
            <v>Advertising</v>
          </cell>
          <cell r="E158">
            <v>261300</v>
          </cell>
        </row>
        <row r="159">
          <cell r="A159">
            <v>102050</v>
          </cell>
          <cell r="B159" t="str">
            <v>Early Retirement</v>
          </cell>
          <cell r="C159" t="str">
            <v>Employee expenditure</v>
          </cell>
          <cell r="D159" t="str">
            <v>MISCLASSIFIED? CHECK BEFORE PUBLICATION</v>
          </cell>
          <cell r="E159">
            <v>999999</v>
          </cell>
        </row>
        <row r="160">
          <cell r="A160">
            <v>102051</v>
          </cell>
          <cell r="B160" t="str">
            <v>ill Health Retiremnt</v>
          </cell>
          <cell r="C160" t="str">
            <v>Employee expenditure</v>
          </cell>
          <cell r="D160" t="str">
            <v>MISCLASSIFIED? CHECK BEFORE PUBLICATION</v>
          </cell>
          <cell r="E160">
            <v>999999</v>
          </cell>
        </row>
        <row r="161">
          <cell r="A161">
            <v>102052</v>
          </cell>
          <cell r="B161" t="str">
            <v>Long Service Award</v>
          </cell>
          <cell r="C161" t="str">
            <v>Employee expenditure</v>
          </cell>
          <cell r="D161" t="str">
            <v>MISCLASSIFIED? CHECK BEFORE PUBLICATION</v>
          </cell>
          <cell r="E161">
            <v>999999</v>
          </cell>
        </row>
        <row r="162">
          <cell r="A162">
            <v>102053</v>
          </cell>
          <cell r="B162" t="str">
            <v>Redundancy Payments</v>
          </cell>
          <cell r="C162" t="str">
            <v>Employee expenditure</v>
          </cell>
          <cell r="D162" t="str">
            <v>MISCLASSIFIED? CHECK BEFORE PUBLICATION</v>
          </cell>
          <cell r="E162">
            <v>999999</v>
          </cell>
        </row>
        <row r="163">
          <cell r="A163">
            <v>102060</v>
          </cell>
          <cell r="B163" t="str">
            <v>Legal Expenses</v>
          </cell>
          <cell r="C163" t="str">
            <v>Employee expenditure</v>
          </cell>
          <cell r="D163" t="str">
            <v>Legal Expenses</v>
          </cell>
          <cell r="E163">
            <v>999999</v>
          </cell>
        </row>
        <row r="164">
          <cell r="A164">
            <v>102061</v>
          </cell>
          <cell r="B164" t="str">
            <v>Lms Supply-Ins Teach</v>
          </cell>
          <cell r="C164" t="str">
            <v>Employee expenditure</v>
          </cell>
          <cell r="D164" t="str">
            <v>MISCLASSIFIED? CHECK BEFORE PUBLICATION</v>
          </cell>
          <cell r="E164">
            <v>999999</v>
          </cell>
        </row>
        <row r="165">
          <cell r="A165">
            <v>102062</v>
          </cell>
          <cell r="B165" t="str">
            <v>Bureau Admin Charge</v>
          </cell>
          <cell r="C165" t="str">
            <v>Employee expenditure</v>
          </cell>
          <cell r="D165" t="str">
            <v>MISCLASSIFIED? CHECK BEFORE PUBLICATION</v>
          </cell>
          <cell r="E165">
            <v>999999</v>
          </cell>
        </row>
        <row r="166">
          <cell r="A166">
            <v>102063</v>
          </cell>
          <cell r="B166" t="str">
            <v>Lms Supply-Ins Non T</v>
          </cell>
          <cell r="C166" t="str">
            <v>Employee expenditure</v>
          </cell>
          <cell r="D166" t="str">
            <v>Agency Staff</v>
          </cell>
          <cell r="E166">
            <v>999999</v>
          </cell>
        </row>
        <row r="167">
          <cell r="A167">
            <v>102070</v>
          </cell>
          <cell r="B167" t="str">
            <v>Delivery-Poll Cards</v>
          </cell>
          <cell r="C167" t="str">
            <v>Employee expenditure</v>
          </cell>
          <cell r="D167" t="str">
            <v>Elections Expenditure</v>
          </cell>
          <cell r="E167">
            <v>300000</v>
          </cell>
        </row>
        <row r="168">
          <cell r="A168">
            <v>102071</v>
          </cell>
          <cell r="B168" t="str">
            <v>Opening-Postal Votes</v>
          </cell>
          <cell r="C168" t="str">
            <v>Employee expenditure</v>
          </cell>
          <cell r="D168" t="str">
            <v>Elections Expenditure</v>
          </cell>
          <cell r="E168">
            <v>300000</v>
          </cell>
        </row>
        <row r="169">
          <cell r="A169">
            <v>102072</v>
          </cell>
          <cell r="B169" t="str">
            <v>Election Count Staff</v>
          </cell>
          <cell r="C169" t="str">
            <v>Employee expenditure</v>
          </cell>
          <cell r="D169" t="str">
            <v>Elections Expenditure</v>
          </cell>
          <cell r="E169">
            <v>260000</v>
          </cell>
        </row>
        <row r="170">
          <cell r="A170">
            <v>102073</v>
          </cell>
          <cell r="B170" t="str">
            <v>Elections General Ad</v>
          </cell>
          <cell r="C170" t="str">
            <v>Employee expenditure</v>
          </cell>
          <cell r="D170" t="str">
            <v>Elections Expenditure</v>
          </cell>
          <cell r="E170">
            <v>260000</v>
          </cell>
        </row>
        <row r="171">
          <cell r="A171">
            <v>102074</v>
          </cell>
          <cell r="B171" t="str">
            <v>Prep&amp;Issue-Post Vote</v>
          </cell>
          <cell r="C171" t="str">
            <v>Employee expenditure</v>
          </cell>
          <cell r="D171" t="str">
            <v>Elections Expenditure</v>
          </cell>
          <cell r="E171">
            <v>300000</v>
          </cell>
        </row>
        <row r="172">
          <cell r="A172">
            <v>102075</v>
          </cell>
          <cell r="B172" t="str">
            <v>Press Liaison</v>
          </cell>
          <cell r="C172" t="str">
            <v>Employee expenditure</v>
          </cell>
          <cell r="D172" t="str">
            <v>Elections Expenditure</v>
          </cell>
          <cell r="E172">
            <v>999999</v>
          </cell>
        </row>
        <row r="173">
          <cell r="A173">
            <v>102076</v>
          </cell>
          <cell r="B173" t="str">
            <v>Incomp' Declarations</v>
          </cell>
          <cell r="C173" t="str">
            <v>Employee expenditure</v>
          </cell>
          <cell r="D173" t="str">
            <v>Elections Expenditure</v>
          </cell>
          <cell r="E173">
            <v>999999</v>
          </cell>
        </row>
        <row r="174">
          <cell r="A174">
            <v>200100</v>
          </cell>
          <cell r="B174" t="str">
            <v>Boarding Up</v>
          </cell>
          <cell r="C174" t="str">
            <v>Premises-related expenditure</v>
          </cell>
          <cell r="D174" t="str">
            <v>Repairs and Maintenance</v>
          </cell>
          <cell r="E174">
            <v>390000</v>
          </cell>
        </row>
        <row r="175">
          <cell r="A175">
            <v>200101</v>
          </cell>
          <cell r="B175" t="str">
            <v>Fire Alarm Insp/Main</v>
          </cell>
          <cell r="C175" t="str">
            <v>Premises-related expenditure</v>
          </cell>
          <cell r="D175" t="str">
            <v>Repairs and Maintenance</v>
          </cell>
          <cell r="E175">
            <v>390000</v>
          </cell>
        </row>
        <row r="176">
          <cell r="A176">
            <v>200102</v>
          </cell>
          <cell r="B176" t="str">
            <v>Fire Damage</v>
          </cell>
          <cell r="C176" t="str">
            <v>Premises-related expenditure</v>
          </cell>
          <cell r="D176" t="str">
            <v>Repairs and Maintenance</v>
          </cell>
          <cell r="E176">
            <v>390000</v>
          </cell>
        </row>
        <row r="177">
          <cell r="A177">
            <v>200103</v>
          </cell>
          <cell r="B177" t="str">
            <v>Glazing Repairs</v>
          </cell>
          <cell r="C177" t="str">
            <v>Premises-related expenditure</v>
          </cell>
          <cell r="D177" t="str">
            <v>Repairs and Maintenance</v>
          </cell>
          <cell r="E177">
            <v>390000</v>
          </cell>
        </row>
        <row r="178">
          <cell r="A178">
            <v>200104</v>
          </cell>
          <cell r="B178" t="str">
            <v>Storm Damage</v>
          </cell>
          <cell r="C178" t="str">
            <v>Premises-related expenditure</v>
          </cell>
          <cell r="D178" t="str">
            <v>Repairs and Maintenance</v>
          </cell>
          <cell r="E178">
            <v>390000</v>
          </cell>
        </row>
        <row r="179">
          <cell r="A179">
            <v>200105</v>
          </cell>
          <cell r="B179" t="str">
            <v>Dilapidations</v>
          </cell>
          <cell r="C179" t="str">
            <v>Premises-related expenditure</v>
          </cell>
          <cell r="D179" t="str">
            <v>Repairs and Maintenance</v>
          </cell>
          <cell r="E179">
            <v>390000</v>
          </cell>
        </row>
        <row r="180">
          <cell r="A180">
            <v>200106</v>
          </cell>
          <cell r="B180" t="str">
            <v>F.Alrm &amp; E.Ltg (Pnd)</v>
          </cell>
          <cell r="C180" t="str">
            <v>Premises-related expenditure</v>
          </cell>
          <cell r="D180" t="str">
            <v>Repairs and Maintenance</v>
          </cell>
          <cell r="E180">
            <v>390000</v>
          </cell>
        </row>
        <row r="181">
          <cell r="A181">
            <v>200110</v>
          </cell>
          <cell r="B181" t="str">
            <v>Painting &amp; Decoratin</v>
          </cell>
          <cell r="C181" t="str">
            <v>Premises-related expenditure</v>
          </cell>
          <cell r="D181" t="str">
            <v>Repairs and Maintenance</v>
          </cell>
          <cell r="E181">
            <v>390000</v>
          </cell>
        </row>
        <row r="182">
          <cell r="A182">
            <v>200111</v>
          </cell>
          <cell r="B182" t="str">
            <v>Painting&amp;Dec Voucher</v>
          </cell>
          <cell r="C182" t="str">
            <v>Premises-related expenditure</v>
          </cell>
          <cell r="D182" t="str">
            <v>Repairs and Maintenance</v>
          </cell>
          <cell r="E182">
            <v>390000</v>
          </cell>
        </row>
        <row r="183">
          <cell r="A183">
            <v>200112</v>
          </cell>
          <cell r="B183" t="str">
            <v>Painting-Communal</v>
          </cell>
          <cell r="C183" t="str">
            <v>Premises-related expenditure</v>
          </cell>
          <cell r="D183" t="str">
            <v>Repairs and Maintenance</v>
          </cell>
          <cell r="E183">
            <v>390000</v>
          </cell>
        </row>
        <row r="184">
          <cell r="A184">
            <v>200113</v>
          </cell>
          <cell r="B184" t="str">
            <v>Painting-Pre Paint R</v>
          </cell>
          <cell r="C184" t="str">
            <v>Premises-related expenditure</v>
          </cell>
          <cell r="D184" t="str">
            <v>Repairs and Maintenance</v>
          </cell>
          <cell r="E184">
            <v>390000</v>
          </cell>
        </row>
        <row r="185">
          <cell r="A185">
            <v>200120</v>
          </cell>
          <cell r="B185" t="str">
            <v>Repairs&amp;Mn'T-Asbesto</v>
          </cell>
          <cell r="C185" t="str">
            <v>Premises-related expenditure</v>
          </cell>
          <cell r="D185" t="str">
            <v>Repairs and Maintenance</v>
          </cell>
          <cell r="E185">
            <v>390000</v>
          </cell>
        </row>
        <row r="186">
          <cell r="A186">
            <v>200121</v>
          </cell>
          <cell r="B186" t="str">
            <v>Repairs&amp;Mn'T-Electr</v>
          </cell>
          <cell r="C186" t="str">
            <v>Premises-related expenditure</v>
          </cell>
          <cell r="D186" t="str">
            <v>Repairs and Maintenance</v>
          </cell>
          <cell r="E186">
            <v>390000</v>
          </cell>
        </row>
        <row r="187">
          <cell r="A187">
            <v>200122</v>
          </cell>
          <cell r="B187" t="str">
            <v>Repairs&amp;Mn'T-Gas Ser</v>
          </cell>
          <cell r="C187" t="str">
            <v>Premises-related expenditure</v>
          </cell>
          <cell r="D187" t="str">
            <v>Repairs and Maintenance</v>
          </cell>
          <cell r="E187">
            <v>390000</v>
          </cell>
        </row>
        <row r="188">
          <cell r="A188">
            <v>200123</v>
          </cell>
          <cell r="B188" t="str">
            <v>Repairs&amp;Mn'T-General</v>
          </cell>
          <cell r="C188" t="str">
            <v>Premises-related expenditure</v>
          </cell>
          <cell r="D188" t="str">
            <v>Repairs and Maintenance</v>
          </cell>
          <cell r="E188">
            <v>390000</v>
          </cell>
        </row>
        <row r="189">
          <cell r="A189">
            <v>200124</v>
          </cell>
          <cell r="B189" t="str">
            <v>Repairs&amp;Mn'T-Heating</v>
          </cell>
          <cell r="C189" t="str">
            <v>Premises-related expenditure</v>
          </cell>
          <cell r="D189" t="str">
            <v>Repairs and Maintenance</v>
          </cell>
          <cell r="E189">
            <v>390000</v>
          </cell>
        </row>
        <row r="190">
          <cell r="A190">
            <v>200125</v>
          </cell>
          <cell r="B190" t="str">
            <v>Repairs&amp;Mn'T-Lift In</v>
          </cell>
          <cell r="C190" t="str">
            <v>Premises-related expenditure</v>
          </cell>
          <cell r="D190" t="str">
            <v>Repairs and Maintenance</v>
          </cell>
          <cell r="E190">
            <v>390000</v>
          </cell>
        </row>
        <row r="191">
          <cell r="A191">
            <v>200126</v>
          </cell>
          <cell r="B191" t="str">
            <v>Repairs&amp;Mn'T-Mechani</v>
          </cell>
          <cell r="C191" t="str">
            <v>Premises-related expenditure</v>
          </cell>
          <cell r="D191" t="str">
            <v>Repairs and Maintenance</v>
          </cell>
          <cell r="E191">
            <v>390000</v>
          </cell>
        </row>
        <row r="192">
          <cell r="A192">
            <v>200127</v>
          </cell>
          <cell r="B192" t="str">
            <v>Repairs&amp;Mn'T-Roofing</v>
          </cell>
          <cell r="C192" t="str">
            <v>Premises-related expenditure</v>
          </cell>
          <cell r="D192" t="str">
            <v>Repairs and Maintenance</v>
          </cell>
          <cell r="E192">
            <v>390000</v>
          </cell>
        </row>
        <row r="193">
          <cell r="A193">
            <v>200128</v>
          </cell>
          <cell r="B193" t="str">
            <v>PMS Subcontractors</v>
          </cell>
          <cell r="C193" t="str">
            <v>MISCLASSIFIED? CHECK BEFORE PUBLICATION</v>
          </cell>
          <cell r="D193" t="str">
            <v>Premises-related expenditure</v>
          </cell>
          <cell r="E193">
            <v>999999</v>
          </cell>
        </row>
        <row r="194">
          <cell r="A194">
            <v>200129</v>
          </cell>
          <cell r="B194" t="str">
            <v>Plumbing (Reactive)</v>
          </cell>
          <cell r="C194" t="str">
            <v>Premises-related expenditure</v>
          </cell>
          <cell r="D194" t="str">
            <v>Repairs and Maintenance</v>
          </cell>
          <cell r="E194">
            <v>390000</v>
          </cell>
        </row>
        <row r="195">
          <cell r="A195">
            <v>200130</v>
          </cell>
          <cell r="B195" t="str">
            <v>Civil Eng (Reactive)</v>
          </cell>
          <cell r="C195" t="str">
            <v>Premises-related expenditure</v>
          </cell>
          <cell r="D195" t="str">
            <v>Repairs and Maintenance</v>
          </cell>
          <cell r="E195">
            <v>390000</v>
          </cell>
        </row>
        <row r="196">
          <cell r="A196">
            <v>200131</v>
          </cell>
          <cell r="B196" t="str">
            <v>Lifting Equip(Plan)</v>
          </cell>
          <cell r="C196" t="str">
            <v>Premises-related expenditure</v>
          </cell>
          <cell r="D196" t="str">
            <v>Repairs and Maintenance</v>
          </cell>
          <cell r="E196">
            <v>390000</v>
          </cell>
        </row>
        <row r="197">
          <cell r="A197">
            <v>200150</v>
          </cell>
          <cell r="B197" t="str">
            <v>Repairs&amp;Mn'T-Stair L</v>
          </cell>
          <cell r="C197" t="str">
            <v>Premises-related expenditure</v>
          </cell>
          <cell r="D197" t="str">
            <v>Repairs and Maintenance</v>
          </cell>
          <cell r="E197">
            <v>390000</v>
          </cell>
        </row>
        <row r="198">
          <cell r="A198">
            <v>200155</v>
          </cell>
          <cell r="B198" t="str">
            <v>Repairs&amp;Mn'T-Health&amp;</v>
          </cell>
          <cell r="C198" t="str">
            <v>Premises-related expenditure</v>
          </cell>
          <cell r="D198" t="str">
            <v>Repairs and Maintenance</v>
          </cell>
          <cell r="E198">
            <v>390000</v>
          </cell>
        </row>
        <row r="199">
          <cell r="A199">
            <v>200156</v>
          </cell>
          <cell r="B199" t="str">
            <v>H&amp;S rep/chcks (Plnd)</v>
          </cell>
          <cell r="C199" t="str">
            <v>Premises-related expenditure</v>
          </cell>
          <cell r="D199" t="str">
            <v>Repairs and Maintenance</v>
          </cell>
          <cell r="E199">
            <v>390000</v>
          </cell>
        </row>
        <row r="200">
          <cell r="A200">
            <v>200157</v>
          </cell>
          <cell r="B200" t="str">
            <v>Fire Equip(reactive)</v>
          </cell>
          <cell r="C200" t="str">
            <v>Premises-related expenditure</v>
          </cell>
          <cell r="D200" t="str">
            <v>Repairs and Maintenance</v>
          </cell>
          <cell r="E200">
            <v>390000</v>
          </cell>
        </row>
        <row r="201">
          <cell r="A201">
            <v>200158</v>
          </cell>
          <cell r="B201" t="str">
            <v>Fire Equip(planned)</v>
          </cell>
          <cell r="C201" t="str">
            <v>Premises-related expenditure</v>
          </cell>
          <cell r="D201" t="str">
            <v>Repairs and Maintenance</v>
          </cell>
          <cell r="E201">
            <v>390000</v>
          </cell>
        </row>
        <row r="202">
          <cell r="A202">
            <v>200159</v>
          </cell>
          <cell r="B202" t="str">
            <v>I.Alarm M (planned)</v>
          </cell>
          <cell r="C202" t="str">
            <v>Premises-related expenditure</v>
          </cell>
          <cell r="D202" t="str">
            <v>Repairs and Maintenance</v>
          </cell>
          <cell r="E202">
            <v>390000</v>
          </cell>
        </row>
        <row r="203">
          <cell r="A203">
            <v>200160</v>
          </cell>
          <cell r="B203" t="str">
            <v>Repairs&amp;Mn'T-Securit</v>
          </cell>
          <cell r="C203" t="str">
            <v>Premises-related expenditure</v>
          </cell>
          <cell r="D203" t="str">
            <v>Repairs and Maintenance</v>
          </cell>
          <cell r="E203">
            <v>390000</v>
          </cell>
        </row>
        <row r="204">
          <cell r="A204">
            <v>200170</v>
          </cell>
          <cell r="B204" t="str">
            <v>Structural Engineeri</v>
          </cell>
          <cell r="C204" t="str">
            <v>Premises-related expenditure</v>
          </cell>
          <cell r="D204" t="str">
            <v>Repairs and Maintenance</v>
          </cell>
          <cell r="E204">
            <v>391200</v>
          </cell>
        </row>
        <row r="205">
          <cell r="A205">
            <v>200180</v>
          </cell>
          <cell r="B205" t="str">
            <v>Vandalism Repairs</v>
          </cell>
          <cell r="C205" t="str">
            <v>Premises-related expenditure</v>
          </cell>
          <cell r="D205" t="str">
            <v>Repairs and Maintenance</v>
          </cell>
          <cell r="E205">
            <v>390000</v>
          </cell>
        </row>
        <row r="206">
          <cell r="A206">
            <v>200181</v>
          </cell>
          <cell r="B206" t="str">
            <v>ESTATE MANAGEMENT</v>
          </cell>
          <cell r="C206" t="str">
            <v>Premises-related expenditure</v>
          </cell>
          <cell r="D206" t="str">
            <v>Repairs and Maintenance</v>
          </cell>
          <cell r="E206">
            <v>390000</v>
          </cell>
        </row>
        <row r="207">
          <cell r="A207">
            <v>200182</v>
          </cell>
          <cell r="B207" t="str">
            <v>Environmental Mgmt</v>
          </cell>
          <cell r="C207" t="str">
            <v>MISCLASSIFIED? CHECK BEFORE PUBLICATION</v>
          </cell>
          <cell r="D207" t="str">
            <v>Premises-related expenditure</v>
          </cell>
          <cell r="E207">
            <v>999999</v>
          </cell>
        </row>
        <row r="208">
          <cell r="A208">
            <v>200183</v>
          </cell>
          <cell r="B208" t="str">
            <v>Community Safety</v>
          </cell>
          <cell r="C208" t="str">
            <v>MISCLASSIFIED? CHECK BEFORE PUBLICATION</v>
          </cell>
          <cell r="D208" t="str">
            <v>Premises-related expenditure</v>
          </cell>
          <cell r="E208">
            <v>999999</v>
          </cell>
        </row>
        <row r="209">
          <cell r="A209">
            <v>200184</v>
          </cell>
          <cell r="B209" t="str">
            <v>Sustainable N'hoods</v>
          </cell>
          <cell r="C209" t="str">
            <v>MISCLASSIFIED? CHECK BEFORE PUBLICATION</v>
          </cell>
          <cell r="D209" t="str">
            <v>Premises-related expenditure</v>
          </cell>
          <cell r="E209">
            <v>999999</v>
          </cell>
        </row>
        <row r="210">
          <cell r="A210">
            <v>200185</v>
          </cell>
          <cell r="B210" t="str">
            <v>Major Relets</v>
          </cell>
          <cell r="C210" t="str">
            <v>Premises-related expenditure</v>
          </cell>
          <cell r="D210" t="str">
            <v>Repairs and Maintenance</v>
          </cell>
          <cell r="E210">
            <v>390000</v>
          </cell>
        </row>
        <row r="211">
          <cell r="A211">
            <v>200186</v>
          </cell>
          <cell r="B211" t="str">
            <v>Standard Relets</v>
          </cell>
          <cell r="C211" t="str">
            <v>Premises-related expenditure</v>
          </cell>
          <cell r="D211" t="str">
            <v>Repairs and Maintenance</v>
          </cell>
          <cell r="E211">
            <v>390000</v>
          </cell>
        </row>
        <row r="212">
          <cell r="A212">
            <v>200187</v>
          </cell>
          <cell r="B212" t="str">
            <v>Rechargable Repairs</v>
          </cell>
          <cell r="C212" t="str">
            <v>Premises-related expenditure</v>
          </cell>
          <cell r="D212" t="str">
            <v>Repairs and Maintenance</v>
          </cell>
          <cell r="E212">
            <v>390000</v>
          </cell>
        </row>
        <row r="213">
          <cell r="A213">
            <v>200188</v>
          </cell>
          <cell r="B213" t="str">
            <v>Special Repairs</v>
          </cell>
          <cell r="C213" t="str">
            <v>Premises-related expenditure</v>
          </cell>
          <cell r="D213" t="str">
            <v>Repairs and Maintenance</v>
          </cell>
          <cell r="E213">
            <v>390000</v>
          </cell>
        </row>
        <row r="214">
          <cell r="A214">
            <v>200189</v>
          </cell>
          <cell r="B214" t="str">
            <v>S.Homes Work In Prog</v>
          </cell>
          <cell r="C214" t="str">
            <v>Premises-related expenditure</v>
          </cell>
          <cell r="D214" t="str">
            <v>Repairs and Maintenance</v>
          </cell>
          <cell r="E214">
            <v>390000</v>
          </cell>
        </row>
        <row r="215">
          <cell r="A215">
            <v>200190</v>
          </cell>
          <cell r="B215" t="str">
            <v>S.Homes Stock Usage</v>
          </cell>
          <cell r="C215" t="str">
            <v>Premises-related expenditure</v>
          </cell>
          <cell r="D215" t="str">
            <v>Repairs and Maintenance</v>
          </cell>
          <cell r="E215">
            <v>390000</v>
          </cell>
        </row>
        <row r="216">
          <cell r="A216">
            <v>200191</v>
          </cell>
          <cell r="B216" t="str">
            <v>Stock Write Off/Back</v>
          </cell>
          <cell r="C216" t="str">
            <v>Premises-related expenditure</v>
          </cell>
          <cell r="D216" t="str">
            <v>Repairs and Maintenance</v>
          </cell>
          <cell r="E216">
            <v>390000</v>
          </cell>
        </row>
        <row r="217">
          <cell r="A217">
            <v>200192</v>
          </cell>
          <cell r="B217" t="str">
            <v>Fond Farewells</v>
          </cell>
          <cell r="C217" t="str">
            <v>MISCLASSIFIED? CHECK BEFORE PUBLICATION</v>
          </cell>
          <cell r="D217" t="str">
            <v>Premises-related expenditure</v>
          </cell>
          <cell r="E217">
            <v>999999</v>
          </cell>
        </row>
        <row r="218">
          <cell r="A218">
            <v>200193</v>
          </cell>
          <cell r="B218" t="str">
            <v>Assisted Gardening</v>
          </cell>
          <cell r="C218" t="str">
            <v>MISCLASSIFIED? CHECK BEFORE PUBLICATION</v>
          </cell>
          <cell r="D218" t="str">
            <v>Premises-related expenditure</v>
          </cell>
          <cell r="E218">
            <v>999999</v>
          </cell>
        </row>
        <row r="219">
          <cell r="A219">
            <v>200300</v>
          </cell>
          <cell r="B219" t="str">
            <v>Acq'N Of Land&amp;Builds</v>
          </cell>
          <cell r="C219" t="str">
            <v>Capital expenditure</v>
          </cell>
          <cell r="D219" t="str">
            <v>Capital Expenditure - Acquisitions</v>
          </cell>
          <cell r="E219">
            <v>999999</v>
          </cell>
        </row>
        <row r="220">
          <cell r="A220">
            <v>200301</v>
          </cell>
          <cell r="B220" t="str">
            <v>Adaptations</v>
          </cell>
          <cell r="C220" t="str">
            <v>Capital expenditure</v>
          </cell>
          <cell r="D220" t="str">
            <v>Capital Expenditure - Works</v>
          </cell>
          <cell r="E220">
            <v>390000</v>
          </cell>
        </row>
        <row r="221">
          <cell r="A221">
            <v>200302</v>
          </cell>
          <cell r="B221" t="str">
            <v>Appropriations</v>
          </cell>
          <cell r="C221" t="str">
            <v>Capital expenditure</v>
          </cell>
          <cell r="D221" t="str">
            <v>Capital Expenditure - Works</v>
          </cell>
          <cell r="E221">
            <v>390000</v>
          </cell>
        </row>
        <row r="222">
          <cell r="A222">
            <v>200303</v>
          </cell>
          <cell r="B222" t="str">
            <v>Compensation</v>
          </cell>
          <cell r="C222" t="str">
            <v>Capital expenditure</v>
          </cell>
          <cell r="D222" t="str">
            <v>Capital Expenditure - Compensation</v>
          </cell>
          <cell r="E222">
            <v>280000</v>
          </cell>
        </row>
        <row r="223">
          <cell r="A223">
            <v>200304</v>
          </cell>
          <cell r="B223" t="str">
            <v>Construction</v>
          </cell>
          <cell r="C223" t="str">
            <v>Capital expenditure</v>
          </cell>
          <cell r="D223" t="str">
            <v>Capital Expenditure - Works</v>
          </cell>
          <cell r="E223">
            <v>390000</v>
          </cell>
        </row>
        <row r="224">
          <cell r="A224">
            <v>200306</v>
          </cell>
          <cell r="B224" t="str">
            <v>Conveyancing Fees</v>
          </cell>
          <cell r="C224" t="str">
            <v>Capital expenditure</v>
          </cell>
          <cell r="D224" t="str">
            <v>Capital Expenditure - Fees</v>
          </cell>
          <cell r="E224">
            <v>280000</v>
          </cell>
        </row>
        <row r="225">
          <cell r="A225">
            <v>200307</v>
          </cell>
          <cell r="B225" t="str">
            <v>Corp Landlord Exps</v>
          </cell>
          <cell r="C225" t="str">
            <v>Capital expenditure</v>
          </cell>
          <cell r="D225" t="str">
            <v>Capital Expenditure - Fees</v>
          </cell>
          <cell r="E225">
            <v>152050</v>
          </cell>
        </row>
        <row r="226">
          <cell r="A226">
            <v>200308</v>
          </cell>
          <cell r="B226" t="str">
            <v>Demolition Costs</v>
          </cell>
          <cell r="C226" t="str">
            <v>Capital expenditure</v>
          </cell>
          <cell r="D226" t="str">
            <v>Capital Expenditure - Works</v>
          </cell>
          <cell r="E226">
            <v>181000</v>
          </cell>
        </row>
        <row r="227">
          <cell r="A227">
            <v>200309</v>
          </cell>
          <cell r="B227" t="str">
            <v>Property Advice Fees</v>
          </cell>
          <cell r="C227" t="str">
            <v>Capital expenditure</v>
          </cell>
          <cell r="D227" t="str">
            <v>Capital Expenditure - Fees</v>
          </cell>
          <cell r="E227">
            <v>152050</v>
          </cell>
        </row>
        <row r="228">
          <cell r="A228">
            <v>200310</v>
          </cell>
          <cell r="B228" t="str">
            <v>Property Clearance</v>
          </cell>
          <cell r="C228" t="str">
            <v>Capital expenditure</v>
          </cell>
          <cell r="D228" t="str">
            <v>Capital Expenditure - Works</v>
          </cell>
          <cell r="E228">
            <v>180000</v>
          </cell>
        </row>
        <row r="229">
          <cell r="A229">
            <v>200311</v>
          </cell>
          <cell r="B229" t="str">
            <v>Refurbishment</v>
          </cell>
          <cell r="C229" t="str">
            <v>Capital expenditure</v>
          </cell>
          <cell r="D229" t="str">
            <v>Capital Expenditure - Works</v>
          </cell>
          <cell r="E229">
            <v>390000</v>
          </cell>
        </row>
        <row r="230">
          <cell r="A230">
            <v>200312</v>
          </cell>
          <cell r="B230" t="str">
            <v>Site Clearance</v>
          </cell>
          <cell r="C230" t="str">
            <v>Capital expenditure</v>
          </cell>
          <cell r="D230" t="str">
            <v>Capital Expenditure - Works</v>
          </cell>
          <cell r="E230">
            <v>180000</v>
          </cell>
        </row>
        <row r="231">
          <cell r="A231">
            <v>200314</v>
          </cell>
          <cell r="B231" t="str">
            <v>P-Capital Wbs Budget</v>
          </cell>
          <cell r="C231" t="str">
            <v>Capital expenditure</v>
          </cell>
          <cell r="D231" t="str">
            <v>Premises-related expenditure</v>
          </cell>
          <cell r="E231">
            <v>999999</v>
          </cell>
        </row>
        <row r="232">
          <cell r="A232">
            <v>200315</v>
          </cell>
          <cell r="B232" t="str">
            <v>Acquisition&amp;Disposal</v>
          </cell>
          <cell r="C232" t="str">
            <v>Capital expenditure</v>
          </cell>
          <cell r="D232" t="str">
            <v>Capital Expenditure - Acquisitions</v>
          </cell>
          <cell r="E232">
            <v>999999</v>
          </cell>
        </row>
        <row r="233">
          <cell r="A233">
            <v>200316</v>
          </cell>
          <cell r="B233" t="str">
            <v>Surveying</v>
          </cell>
          <cell r="C233" t="str">
            <v>Capital expenditure</v>
          </cell>
          <cell r="D233" t="str">
            <v>Capital Expenditure - Fees</v>
          </cell>
          <cell r="E233">
            <v>391114</v>
          </cell>
        </row>
        <row r="234">
          <cell r="A234">
            <v>200317</v>
          </cell>
          <cell r="B234" t="str">
            <v>Valuation And Review</v>
          </cell>
          <cell r="C234" t="str">
            <v>Capital expenditure</v>
          </cell>
          <cell r="D234" t="str">
            <v>Capital Expenditure - Fees</v>
          </cell>
          <cell r="E234">
            <v>152050</v>
          </cell>
        </row>
        <row r="235">
          <cell r="A235">
            <v>200500</v>
          </cell>
          <cell r="B235" t="str">
            <v>Calor Gas</v>
          </cell>
          <cell r="C235" t="str">
            <v>Premises-related expenditure</v>
          </cell>
          <cell r="D235" t="str">
            <v>Utilities</v>
          </cell>
          <cell r="E235">
            <v>370000</v>
          </cell>
        </row>
        <row r="236">
          <cell r="A236">
            <v>200510</v>
          </cell>
          <cell r="B236" t="str">
            <v>Electricity</v>
          </cell>
          <cell r="C236" t="str">
            <v>Premises-related expenditure</v>
          </cell>
          <cell r="D236" t="str">
            <v>Utilities</v>
          </cell>
          <cell r="E236">
            <v>370000</v>
          </cell>
        </row>
        <row r="237">
          <cell r="A237">
            <v>200511</v>
          </cell>
          <cell r="B237" t="str">
            <v>Electricity- Lightin</v>
          </cell>
          <cell r="C237" t="str">
            <v>Premises-related expenditure</v>
          </cell>
          <cell r="D237" t="str">
            <v>Utilities</v>
          </cell>
          <cell r="E237">
            <v>370000</v>
          </cell>
        </row>
        <row r="238">
          <cell r="A238">
            <v>200512</v>
          </cell>
          <cell r="B238" t="str">
            <v>Electricity(Communal</v>
          </cell>
          <cell r="C238" t="str">
            <v>Premises-related expenditure</v>
          </cell>
          <cell r="D238" t="str">
            <v>Utilities</v>
          </cell>
          <cell r="E238">
            <v>370000</v>
          </cell>
        </row>
        <row r="239">
          <cell r="A239">
            <v>200513</v>
          </cell>
          <cell r="B239" t="str">
            <v>Electricity(Rech Dom</v>
          </cell>
          <cell r="C239" t="str">
            <v>Premises-related expenditure</v>
          </cell>
          <cell r="D239" t="str">
            <v>Utilities</v>
          </cell>
          <cell r="E239">
            <v>370000</v>
          </cell>
        </row>
        <row r="240">
          <cell r="A240">
            <v>200514</v>
          </cell>
          <cell r="B240" t="str">
            <v>St Furniture Energy</v>
          </cell>
          <cell r="C240" t="str">
            <v>Premises-related expenditure</v>
          </cell>
          <cell r="D240" t="str">
            <v>Utilities</v>
          </cell>
          <cell r="E240">
            <v>370000</v>
          </cell>
        </row>
        <row r="241">
          <cell r="A241">
            <v>200520</v>
          </cell>
          <cell r="B241" t="str">
            <v>Fuel Oil</v>
          </cell>
          <cell r="C241" t="str">
            <v>Premises-related expenditure</v>
          </cell>
          <cell r="D241" t="str">
            <v>Utilities</v>
          </cell>
          <cell r="E241">
            <v>370000</v>
          </cell>
        </row>
        <row r="242">
          <cell r="A242">
            <v>200530</v>
          </cell>
          <cell r="B242" t="str">
            <v>Gas</v>
          </cell>
          <cell r="C242" t="str">
            <v>Premises-related expenditure</v>
          </cell>
          <cell r="D242" t="str">
            <v>Utilities</v>
          </cell>
          <cell r="E242">
            <v>370000</v>
          </cell>
        </row>
        <row r="243">
          <cell r="A243">
            <v>200540</v>
          </cell>
          <cell r="B243" t="str">
            <v>Coal &amp; Coke</v>
          </cell>
          <cell r="C243" t="str">
            <v>Premises-related expenditure</v>
          </cell>
          <cell r="D243" t="str">
            <v>Utilities</v>
          </cell>
          <cell r="E243">
            <v>370000</v>
          </cell>
        </row>
        <row r="244">
          <cell r="A244">
            <v>200550</v>
          </cell>
          <cell r="B244" t="str">
            <v>Other Energy Costs</v>
          </cell>
          <cell r="C244" t="str">
            <v>Premises-related expenditure</v>
          </cell>
          <cell r="D244" t="str">
            <v>Utilities</v>
          </cell>
          <cell r="E244">
            <v>370000</v>
          </cell>
        </row>
        <row r="245">
          <cell r="A245">
            <v>200700</v>
          </cell>
          <cell r="B245" t="str">
            <v>Rents Payable</v>
          </cell>
          <cell r="C245" t="str">
            <v>Premises-related expenditure</v>
          </cell>
          <cell r="D245" t="str">
            <v>Rents</v>
          </cell>
          <cell r="E245">
            <v>202000</v>
          </cell>
        </row>
        <row r="246">
          <cell r="A246">
            <v>200701</v>
          </cell>
          <cell r="B246" t="str">
            <v>Bed &amp; Breakfast Rent</v>
          </cell>
          <cell r="C246" t="str">
            <v>Premises-related expenditure</v>
          </cell>
          <cell r="D246" t="str">
            <v>Rents</v>
          </cell>
          <cell r="E246">
            <v>202000</v>
          </cell>
        </row>
        <row r="247">
          <cell r="A247">
            <v>200702</v>
          </cell>
          <cell r="B247" t="str">
            <v>Chief /Ground Rent</v>
          </cell>
          <cell r="C247" t="str">
            <v>Premises-related expenditure</v>
          </cell>
          <cell r="D247" t="str">
            <v>Rents</v>
          </cell>
          <cell r="E247">
            <v>202000</v>
          </cell>
        </row>
        <row r="248">
          <cell r="A248">
            <v>200703</v>
          </cell>
          <cell r="B248" t="str">
            <v>Rents-Private Landlo</v>
          </cell>
          <cell r="C248" t="str">
            <v>Premises-related expenditure</v>
          </cell>
          <cell r="D248" t="str">
            <v>Rents</v>
          </cell>
          <cell r="E248">
            <v>202000</v>
          </cell>
        </row>
        <row r="249">
          <cell r="A249">
            <v>200704</v>
          </cell>
          <cell r="B249" t="str">
            <v>Site Rental</v>
          </cell>
          <cell r="C249" t="str">
            <v>Premises-related expenditure</v>
          </cell>
          <cell r="D249" t="str">
            <v>Rents</v>
          </cell>
          <cell r="E249">
            <v>190000</v>
          </cell>
        </row>
        <row r="250">
          <cell r="A250">
            <v>200705</v>
          </cell>
          <cell r="B250" t="str">
            <v>Facility Hire</v>
          </cell>
          <cell r="C250" t="str">
            <v>Premises-related expenditure</v>
          </cell>
          <cell r="D250" t="str">
            <v>Rents</v>
          </cell>
          <cell r="E250">
            <v>190000</v>
          </cell>
        </row>
        <row r="251">
          <cell r="A251">
            <v>200706</v>
          </cell>
          <cell r="B251" t="str">
            <v>Depot Charges</v>
          </cell>
          <cell r="C251" t="str">
            <v>Premises-related expenditure</v>
          </cell>
          <cell r="D251" t="str">
            <v>Rents</v>
          </cell>
          <cell r="E251">
            <v>202000</v>
          </cell>
        </row>
        <row r="252">
          <cell r="A252">
            <v>200707</v>
          </cell>
          <cell r="B252" t="str">
            <v>S.Homes Accom Charge</v>
          </cell>
          <cell r="C252" t="str">
            <v>Premises-related expenditure</v>
          </cell>
          <cell r="D252" t="str">
            <v>Rents</v>
          </cell>
          <cell r="E252">
            <v>202000</v>
          </cell>
        </row>
        <row r="253">
          <cell r="A253">
            <v>200720</v>
          </cell>
          <cell r="B253" t="str">
            <v>Rent-Polling Station</v>
          </cell>
          <cell r="C253" t="str">
            <v>Premises-related expenditure</v>
          </cell>
          <cell r="D253" t="str">
            <v>Rents</v>
          </cell>
          <cell r="E253">
            <v>202000</v>
          </cell>
        </row>
        <row r="254">
          <cell r="A254">
            <v>200900</v>
          </cell>
          <cell r="B254" t="str">
            <v>Council Tax</v>
          </cell>
          <cell r="C254" t="str">
            <v>Premises-related expenditure</v>
          </cell>
          <cell r="D254" t="str">
            <v>Council Tax</v>
          </cell>
          <cell r="E254">
            <v>201400</v>
          </cell>
        </row>
        <row r="255">
          <cell r="A255">
            <v>200910</v>
          </cell>
          <cell r="B255" t="str">
            <v>Nat Business Rates</v>
          </cell>
          <cell r="C255" t="str">
            <v>Premises-related expenditure</v>
          </cell>
          <cell r="D255" t="str">
            <v>Business Rates</v>
          </cell>
          <cell r="E255">
            <v>201400</v>
          </cell>
        </row>
        <row r="256">
          <cell r="A256">
            <v>200911</v>
          </cell>
          <cell r="D256" t="str">
            <v>BID Levy</v>
          </cell>
          <cell r="E256">
            <v>201400</v>
          </cell>
        </row>
        <row r="257">
          <cell r="A257">
            <v>201000</v>
          </cell>
          <cell r="B257" t="str">
            <v>Chemical Toilets</v>
          </cell>
          <cell r="C257" t="str">
            <v>Premises-related expenditure</v>
          </cell>
          <cell r="D257" t="str">
            <v>Utilities</v>
          </cell>
          <cell r="E257">
            <v>180000</v>
          </cell>
        </row>
        <row r="258">
          <cell r="A258">
            <v>201001</v>
          </cell>
          <cell r="B258" t="str">
            <v>Septic Tank Emptying</v>
          </cell>
          <cell r="C258" t="str">
            <v>Premises-related expenditure</v>
          </cell>
          <cell r="D258" t="str">
            <v>Utilities</v>
          </cell>
          <cell r="E258">
            <v>180000</v>
          </cell>
        </row>
        <row r="259">
          <cell r="A259">
            <v>201002</v>
          </cell>
          <cell r="B259" t="str">
            <v>Sewer Maint-Regular</v>
          </cell>
          <cell r="C259" t="str">
            <v>Premises-related expenditure</v>
          </cell>
          <cell r="D259" t="str">
            <v>Utilities</v>
          </cell>
          <cell r="E259">
            <v>180000</v>
          </cell>
        </row>
        <row r="260">
          <cell r="A260">
            <v>201003</v>
          </cell>
          <cell r="B260" t="str">
            <v>Sewer Mtnce-Reactive</v>
          </cell>
          <cell r="C260" t="str">
            <v>Premises-related expenditure</v>
          </cell>
          <cell r="D260" t="str">
            <v>Utilities</v>
          </cell>
          <cell r="E260">
            <v>180000</v>
          </cell>
        </row>
        <row r="261">
          <cell r="A261">
            <v>201004</v>
          </cell>
          <cell r="B261" t="str">
            <v>Water &amp; Sewerage</v>
          </cell>
          <cell r="C261" t="str">
            <v>Premises-related expenditure</v>
          </cell>
          <cell r="D261" t="str">
            <v>Utilities</v>
          </cell>
          <cell r="E261">
            <v>370000</v>
          </cell>
        </row>
        <row r="262">
          <cell r="A262">
            <v>201005</v>
          </cell>
          <cell r="B262" t="str">
            <v>Water Rates</v>
          </cell>
          <cell r="C262" t="str">
            <v>Premises-related expenditure</v>
          </cell>
          <cell r="D262" t="str">
            <v>Utilities</v>
          </cell>
          <cell r="E262">
            <v>370000</v>
          </cell>
        </row>
        <row r="263">
          <cell r="A263">
            <v>201006</v>
          </cell>
          <cell r="B263" t="str">
            <v>Water Sampling</v>
          </cell>
          <cell r="C263" t="str">
            <v>Premises-related expenditure</v>
          </cell>
          <cell r="D263" t="str">
            <v>Utilities</v>
          </cell>
          <cell r="E263">
            <v>370000</v>
          </cell>
        </row>
        <row r="264">
          <cell r="A264">
            <v>201200</v>
          </cell>
          <cell r="B264" t="str">
            <v>Entry Phones</v>
          </cell>
          <cell r="C264" t="str">
            <v>Premises-related expenditure</v>
          </cell>
          <cell r="D264" t="str">
            <v>Fixtures and Fittings</v>
          </cell>
          <cell r="E264">
            <v>270000</v>
          </cell>
        </row>
        <row r="265">
          <cell r="A265">
            <v>201201</v>
          </cell>
          <cell r="B265" t="str">
            <v>Fixtures And Fitting</v>
          </cell>
          <cell r="C265" t="str">
            <v>Premises-related expenditure</v>
          </cell>
          <cell r="D265" t="str">
            <v>Fixtures and Fittings</v>
          </cell>
          <cell r="E265">
            <v>190000</v>
          </cell>
        </row>
        <row r="266">
          <cell r="A266">
            <v>201202</v>
          </cell>
          <cell r="B266" t="str">
            <v>Highways-St Furnitur</v>
          </cell>
          <cell r="C266" t="str">
            <v>Premises-related expenditure</v>
          </cell>
          <cell r="D266" t="str">
            <v>Fixtures and Fittings</v>
          </cell>
          <cell r="E266">
            <v>350000</v>
          </cell>
        </row>
        <row r="267">
          <cell r="A267">
            <v>201203</v>
          </cell>
          <cell r="B267" t="str">
            <v>Security Alarms</v>
          </cell>
          <cell r="C267" t="str">
            <v>Premises-related expenditure</v>
          </cell>
          <cell r="D267" t="str">
            <v>Security</v>
          </cell>
          <cell r="E267">
            <v>192200</v>
          </cell>
        </row>
        <row r="268">
          <cell r="A268">
            <v>201204</v>
          </cell>
          <cell r="B268" t="str">
            <v>Security Systems</v>
          </cell>
          <cell r="C268" t="str">
            <v>Premises-related expenditure</v>
          </cell>
          <cell r="D268" t="str">
            <v>Security</v>
          </cell>
          <cell r="E268">
            <v>192200</v>
          </cell>
        </row>
        <row r="269">
          <cell r="A269">
            <v>201205</v>
          </cell>
          <cell r="B269" t="str">
            <v>Signage &amp; Markings</v>
          </cell>
          <cell r="C269" t="str">
            <v>Premises-related expenditure</v>
          </cell>
          <cell r="D269" t="str">
            <v>Signage</v>
          </cell>
          <cell r="E269">
            <v>390000</v>
          </cell>
        </row>
        <row r="270">
          <cell r="A270">
            <v>201206</v>
          </cell>
          <cell r="B270" t="str">
            <v>Watching &amp; Surveylan</v>
          </cell>
          <cell r="C270" t="str">
            <v>Premises-related expenditure</v>
          </cell>
          <cell r="D270" t="str">
            <v>Security</v>
          </cell>
          <cell r="E270">
            <v>192200</v>
          </cell>
        </row>
        <row r="271">
          <cell r="A271">
            <v>201400</v>
          </cell>
          <cell r="B271" t="str">
            <v>Directorate Recharge</v>
          </cell>
          <cell r="C271" t="str">
            <v>Premises-related expenditure</v>
          </cell>
          <cell r="D271" t="str">
            <v>Premises-related expenditure</v>
          </cell>
          <cell r="E271">
            <v>999999</v>
          </cell>
        </row>
        <row r="272">
          <cell r="A272">
            <v>201410</v>
          </cell>
          <cell r="B272" t="str">
            <v>Insurance Charges</v>
          </cell>
          <cell r="C272" t="str">
            <v>Premises-related expenditure</v>
          </cell>
          <cell r="D272" t="str">
            <v>Insurance</v>
          </cell>
          <cell r="E272">
            <v>201800</v>
          </cell>
        </row>
        <row r="273">
          <cell r="A273">
            <v>201600</v>
          </cell>
          <cell r="B273" t="str">
            <v>Chemicals &amp;Disinfect</v>
          </cell>
          <cell r="C273" t="str">
            <v>Premises-related expenditure</v>
          </cell>
          <cell r="D273" t="str">
            <v>Cleaning</v>
          </cell>
          <cell r="E273">
            <v>130000</v>
          </cell>
        </row>
        <row r="274">
          <cell r="A274">
            <v>201601</v>
          </cell>
          <cell r="B274" t="str">
            <v>Cleaning &amp;Dom Supply</v>
          </cell>
          <cell r="C274" t="str">
            <v>Premises-related expenditure</v>
          </cell>
          <cell r="D274" t="str">
            <v>Cleaning</v>
          </cell>
          <cell r="E274">
            <v>130000</v>
          </cell>
        </row>
        <row r="275">
          <cell r="A275">
            <v>201602</v>
          </cell>
          <cell r="B275" t="str">
            <v>Cleaning Services</v>
          </cell>
          <cell r="C275" t="str">
            <v>Premises-related expenditure</v>
          </cell>
          <cell r="D275" t="str">
            <v>Cleaning</v>
          </cell>
          <cell r="E275">
            <v>130000</v>
          </cell>
        </row>
        <row r="276">
          <cell r="A276">
            <v>201603</v>
          </cell>
          <cell r="B276" t="str">
            <v>Flytipping Removal</v>
          </cell>
          <cell r="C276" t="str">
            <v>Premises-related expenditure</v>
          </cell>
          <cell r="D276" t="str">
            <v>Cleaning</v>
          </cell>
          <cell r="E276">
            <v>180000</v>
          </cell>
        </row>
        <row r="277">
          <cell r="A277">
            <v>201604</v>
          </cell>
          <cell r="B277" t="str">
            <v>Grafiti Removals</v>
          </cell>
          <cell r="C277" t="str">
            <v>Premises-related expenditure</v>
          </cell>
          <cell r="D277" t="str">
            <v>Cleaning</v>
          </cell>
          <cell r="E277">
            <v>181200</v>
          </cell>
        </row>
        <row r="278">
          <cell r="A278">
            <v>201605</v>
          </cell>
          <cell r="B278" t="str">
            <v>Removals &amp; Disinfest</v>
          </cell>
          <cell r="C278" t="str">
            <v>Premises-related expenditure</v>
          </cell>
          <cell r="D278" t="str">
            <v>Cleaning</v>
          </cell>
          <cell r="E278">
            <v>180000</v>
          </cell>
        </row>
        <row r="279">
          <cell r="A279">
            <v>201606</v>
          </cell>
          <cell r="B279" t="str">
            <v>Street Cleaning/Swee</v>
          </cell>
          <cell r="C279" t="str">
            <v>Premises-related expenditure</v>
          </cell>
          <cell r="D279" t="str">
            <v>Cleaning</v>
          </cell>
          <cell r="E279">
            <v>181600</v>
          </cell>
        </row>
        <row r="280">
          <cell r="A280">
            <v>201607</v>
          </cell>
          <cell r="B280" t="str">
            <v>Towelling &amp;Toilet Re</v>
          </cell>
          <cell r="C280" t="str">
            <v>Premises-related expenditure</v>
          </cell>
          <cell r="D280" t="str">
            <v>Cleaning</v>
          </cell>
          <cell r="E280">
            <v>130000</v>
          </cell>
        </row>
        <row r="281">
          <cell r="A281">
            <v>201608</v>
          </cell>
          <cell r="B281" t="str">
            <v>Window Cleaning</v>
          </cell>
          <cell r="C281" t="str">
            <v>Premises-related expenditure</v>
          </cell>
          <cell r="D281" t="str">
            <v>Cleaning</v>
          </cell>
          <cell r="E281">
            <v>130000</v>
          </cell>
        </row>
        <row r="282">
          <cell r="A282">
            <v>201609</v>
          </cell>
          <cell r="B282" t="str">
            <v>Cleaning (Reactive)</v>
          </cell>
          <cell r="C282" t="str">
            <v>Premises-related expenditure</v>
          </cell>
          <cell r="D282" t="str">
            <v>Cleaning</v>
          </cell>
          <cell r="E282">
            <v>130000</v>
          </cell>
        </row>
        <row r="283">
          <cell r="A283">
            <v>201610</v>
          </cell>
          <cell r="B283" t="str">
            <v>Pest Control Charges</v>
          </cell>
          <cell r="C283" t="str">
            <v>Premises-related expenditure</v>
          </cell>
          <cell r="D283" t="str">
            <v>Pest Control</v>
          </cell>
          <cell r="E283">
            <v>180000</v>
          </cell>
        </row>
        <row r="284">
          <cell r="A284">
            <v>201611</v>
          </cell>
          <cell r="B284" t="str">
            <v>Pest Control(planed)</v>
          </cell>
          <cell r="C284" t="str">
            <v>Premises-related expenditure</v>
          </cell>
          <cell r="D284" t="str">
            <v>Pest Control</v>
          </cell>
          <cell r="E284">
            <v>180000</v>
          </cell>
        </row>
        <row r="285">
          <cell r="A285">
            <v>201800</v>
          </cell>
          <cell r="B285" t="str">
            <v>Recycling</v>
          </cell>
          <cell r="C285" t="str">
            <v>Premises-related expenditure</v>
          </cell>
          <cell r="D285" t="str">
            <v>Waste Management</v>
          </cell>
          <cell r="E285">
            <v>182000</v>
          </cell>
        </row>
        <row r="286">
          <cell r="A286">
            <v>201801</v>
          </cell>
          <cell r="B286" t="str">
            <v>Recycling-Green Wast</v>
          </cell>
          <cell r="C286" t="str">
            <v>Premises-related expenditure</v>
          </cell>
          <cell r="D286" t="str">
            <v>Waste Management</v>
          </cell>
          <cell r="E286">
            <v>182000</v>
          </cell>
        </row>
        <row r="287">
          <cell r="A287">
            <v>201802</v>
          </cell>
          <cell r="B287" t="str">
            <v>Recycling-Fridge Dis</v>
          </cell>
          <cell r="C287" t="str">
            <v>Premises-related expenditure</v>
          </cell>
          <cell r="D287" t="str">
            <v>Waste Management</v>
          </cell>
          <cell r="E287">
            <v>182014</v>
          </cell>
        </row>
        <row r="288">
          <cell r="A288">
            <v>201803</v>
          </cell>
          <cell r="B288" t="str">
            <v>Refuse Collection</v>
          </cell>
          <cell r="C288" t="str">
            <v>Premises-related expenditure</v>
          </cell>
          <cell r="D288" t="str">
            <v>Waste Management</v>
          </cell>
          <cell r="E288">
            <v>182000</v>
          </cell>
        </row>
        <row r="289">
          <cell r="A289">
            <v>201804</v>
          </cell>
          <cell r="B289" t="str">
            <v>Refuse Removal</v>
          </cell>
          <cell r="C289" t="str">
            <v>Premises-related expenditure</v>
          </cell>
          <cell r="D289" t="str">
            <v>Waste Management</v>
          </cell>
          <cell r="E289">
            <v>182000</v>
          </cell>
        </row>
        <row r="290">
          <cell r="A290">
            <v>201805</v>
          </cell>
          <cell r="B290" t="str">
            <v>Removal Hazadous Was</v>
          </cell>
          <cell r="C290" t="str">
            <v>Premises-related expenditure</v>
          </cell>
          <cell r="D290" t="str">
            <v>Waste Management</v>
          </cell>
          <cell r="E290">
            <v>182020</v>
          </cell>
        </row>
        <row r="291">
          <cell r="A291">
            <v>202000</v>
          </cell>
          <cell r="B291" t="str">
            <v>Fence'S</v>
          </cell>
          <cell r="C291" t="str">
            <v>Premises-related expenditure</v>
          </cell>
          <cell r="D291" t="str">
            <v>Grounds Maintenance</v>
          </cell>
          <cell r="E291">
            <v>240000</v>
          </cell>
        </row>
        <row r="292">
          <cell r="A292">
            <v>202001</v>
          </cell>
          <cell r="B292" t="str">
            <v>Gardening - Relets</v>
          </cell>
          <cell r="C292" t="str">
            <v>Premises-related expenditure</v>
          </cell>
          <cell r="D292" t="str">
            <v>Grounds Maintenance</v>
          </cell>
          <cell r="E292">
            <v>240000</v>
          </cell>
        </row>
        <row r="293">
          <cell r="A293">
            <v>202002</v>
          </cell>
          <cell r="B293" t="str">
            <v>Gates &amp; B (planned)</v>
          </cell>
          <cell r="C293" t="str">
            <v>Premises-related expenditure</v>
          </cell>
          <cell r="D293" t="str">
            <v>Grounds Maintenance</v>
          </cell>
          <cell r="E293">
            <v>240000</v>
          </cell>
        </row>
        <row r="294">
          <cell r="A294">
            <v>202029</v>
          </cell>
          <cell r="B294" t="str">
            <v>G Mntnce (reactive)</v>
          </cell>
          <cell r="C294" t="str">
            <v>Premises-related expenditure</v>
          </cell>
          <cell r="D294" t="str">
            <v>Grounds Maintenance</v>
          </cell>
          <cell r="E294">
            <v>240000</v>
          </cell>
        </row>
        <row r="295">
          <cell r="A295">
            <v>202030</v>
          </cell>
          <cell r="B295" t="str">
            <v>Ground Maintenance</v>
          </cell>
          <cell r="C295" t="str">
            <v>Premises-related expenditure</v>
          </cell>
          <cell r="D295" t="str">
            <v>Grounds Maintenance</v>
          </cell>
          <cell r="E295">
            <v>240000</v>
          </cell>
        </row>
        <row r="296">
          <cell r="A296">
            <v>202031</v>
          </cell>
          <cell r="B296" t="str">
            <v>Ground Mnt -Jobbing</v>
          </cell>
          <cell r="C296" t="str">
            <v>Premises-related expenditure</v>
          </cell>
          <cell r="D296" t="str">
            <v>Grounds Maintenance</v>
          </cell>
          <cell r="E296">
            <v>240000</v>
          </cell>
        </row>
        <row r="297">
          <cell r="A297">
            <v>202032</v>
          </cell>
          <cell r="B297" t="str">
            <v>Ground Mnt -Landscap</v>
          </cell>
          <cell r="C297" t="str">
            <v>Premises-related expenditure</v>
          </cell>
          <cell r="D297" t="str">
            <v>Grounds Maintenance</v>
          </cell>
          <cell r="E297">
            <v>240000</v>
          </cell>
        </row>
        <row r="298">
          <cell r="A298">
            <v>202033</v>
          </cell>
          <cell r="B298" t="str">
            <v>Ground Mnt - Paths</v>
          </cell>
          <cell r="C298" t="str">
            <v>Premises-related expenditure</v>
          </cell>
          <cell r="D298" t="str">
            <v>Grounds Maintenance</v>
          </cell>
          <cell r="E298">
            <v>240000</v>
          </cell>
        </row>
        <row r="299">
          <cell r="A299">
            <v>202034</v>
          </cell>
          <cell r="B299" t="str">
            <v>Ground Mnt- Weed Tre</v>
          </cell>
          <cell r="C299" t="str">
            <v>Premises-related expenditure</v>
          </cell>
          <cell r="D299" t="str">
            <v>Grounds Maintenance</v>
          </cell>
          <cell r="E299">
            <v>240000</v>
          </cell>
        </row>
        <row r="300">
          <cell r="A300">
            <v>202035</v>
          </cell>
          <cell r="B300" t="str">
            <v>Ground Mnt-Trees&amp;Shr</v>
          </cell>
          <cell r="C300" t="str">
            <v>Premises-related expenditure</v>
          </cell>
          <cell r="D300" t="str">
            <v>Grounds Maintenance</v>
          </cell>
          <cell r="E300">
            <v>240000</v>
          </cell>
        </row>
        <row r="301">
          <cell r="A301">
            <v>202036</v>
          </cell>
          <cell r="B301" t="str">
            <v>Ground Mnt- Recharge</v>
          </cell>
          <cell r="C301" t="str">
            <v>Premises-related expenditure</v>
          </cell>
          <cell r="D301" t="str">
            <v>Grounds Maintenance</v>
          </cell>
          <cell r="E301">
            <v>240000</v>
          </cell>
        </row>
        <row r="302">
          <cell r="A302">
            <v>202038</v>
          </cell>
          <cell r="B302" t="str">
            <v>Floral Displays</v>
          </cell>
          <cell r="C302" t="str">
            <v>Premises-related expenditure</v>
          </cell>
          <cell r="D302" t="str">
            <v>Grounds Maintenance</v>
          </cell>
          <cell r="E302">
            <v>240000</v>
          </cell>
        </row>
        <row r="303">
          <cell r="A303">
            <v>202050</v>
          </cell>
          <cell r="B303" t="str">
            <v>Highway Mnt-Principa</v>
          </cell>
          <cell r="C303" t="str">
            <v>Premises-related expenditure</v>
          </cell>
          <cell r="D303" t="str">
            <v>Highways Maintenance</v>
          </cell>
          <cell r="E303">
            <v>230000</v>
          </cell>
        </row>
        <row r="304">
          <cell r="A304">
            <v>202051</v>
          </cell>
          <cell r="B304" t="str">
            <v>Highway Mnt-Non Prin</v>
          </cell>
          <cell r="C304" t="str">
            <v>Premises-related expenditure</v>
          </cell>
          <cell r="D304" t="str">
            <v>Highways Maintenance</v>
          </cell>
          <cell r="E304">
            <v>230000</v>
          </cell>
        </row>
        <row r="305">
          <cell r="A305">
            <v>202052</v>
          </cell>
          <cell r="B305" t="str">
            <v>Highway Mnt-Drainage</v>
          </cell>
          <cell r="C305" t="str">
            <v>Premises-related expenditure</v>
          </cell>
          <cell r="D305" t="str">
            <v>Highways Maintenance</v>
          </cell>
          <cell r="E305">
            <v>230000</v>
          </cell>
        </row>
        <row r="306">
          <cell r="A306">
            <v>202053</v>
          </cell>
          <cell r="B306" t="str">
            <v>Highway Mnt-Sign&amp; Ma</v>
          </cell>
          <cell r="C306" t="str">
            <v>Premises-related expenditure</v>
          </cell>
          <cell r="D306" t="str">
            <v>Highways Maintenance</v>
          </cell>
          <cell r="E306">
            <v>230000</v>
          </cell>
        </row>
        <row r="307">
          <cell r="A307">
            <v>202054</v>
          </cell>
          <cell r="B307" t="str">
            <v>Highway Mnt-Signals</v>
          </cell>
          <cell r="C307" t="str">
            <v>Premises-related expenditure</v>
          </cell>
          <cell r="D307" t="str">
            <v>Highways Maintenance</v>
          </cell>
          <cell r="E307">
            <v>230000</v>
          </cell>
        </row>
        <row r="308">
          <cell r="A308">
            <v>202055</v>
          </cell>
          <cell r="B308" t="str">
            <v>Highway Mnt-Diverson</v>
          </cell>
          <cell r="C308" t="str">
            <v>Premises-related expenditure</v>
          </cell>
          <cell r="D308" t="str">
            <v>Highways Maintenance</v>
          </cell>
          <cell r="E308">
            <v>230000</v>
          </cell>
        </row>
        <row r="309">
          <cell r="A309">
            <v>202056</v>
          </cell>
          <cell r="B309" t="str">
            <v>Highway Mnt-Gritting</v>
          </cell>
          <cell r="C309" t="str">
            <v>Premises-related expenditure</v>
          </cell>
          <cell r="D309" t="str">
            <v>Highways Maintenance</v>
          </cell>
          <cell r="E309">
            <v>230000</v>
          </cell>
        </row>
        <row r="310">
          <cell r="A310">
            <v>202200</v>
          </cell>
          <cell r="B310" t="str">
            <v>Premises -Insurance</v>
          </cell>
          <cell r="C310" t="str">
            <v>Premises-related expenditure</v>
          </cell>
          <cell r="D310" t="str">
            <v>Insurance</v>
          </cell>
          <cell r="E310">
            <v>201800</v>
          </cell>
        </row>
        <row r="311">
          <cell r="A311">
            <v>202400</v>
          </cell>
          <cell r="B311" t="str">
            <v>Cont To Prov-Prem'S</v>
          </cell>
          <cell r="C311" t="str">
            <v>Premises-related expenditure</v>
          </cell>
          <cell r="D311" t="str">
            <v>Premises-related expenditure</v>
          </cell>
          <cell r="E311">
            <v>999999</v>
          </cell>
        </row>
        <row r="312">
          <cell r="A312">
            <v>300100</v>
          </cell>
          <cell r="B312" t="str">
            <v>Vehicle Service/Repa</v>
          </cell>
          <cell r="C312" t="str">
            <v>Transport-related expenditure</v>
          </cell>
          <cell r="D312" t="str">
            <v>Vehicle Repairs and Maintenance</v>
          </cell>
          <cell r="E312">
            <v>380000</v>
          </cell>
        </row>
        <row r="313">
          <cell r="A313">
            <v>300110</v>
          </cell>
          <cell r="B313" t="str">
            <v>Tyres</v>
          </cell>
          <cell r="C313" t="str">
            <v>Transport-related expenditure</v>
          </cell>
          <cell r="D313" t="str">
            <v>Vehicle Repairs and Maintenance</v>
          </cell>
          <cell r="E313">
            <v>380000</v>
          </cell>
        </row>
        <row r="314">
          <cell r="A314">
            <v>300120</v>
          </cell>
          <cell r="B314" t="str">
            <v>Drivers Assessment</v>
          </cell>
          <cell r="C314" t="str">
            <v>Transport-related expenditure</v>
          </cell>
          <cell r="D314" t="str">
            <v>Driving and Vehicle Licences</v>
          </cell>
          <cell r="E314">
            <v>380000</v>
          </cell>
        </row>
        <row r="315">
          <cell r="A315">
            <v>300121</v>
          </cell>
          <cell r="B315" t="str">
            <v>Driving Licences</v>
          </cell>
          <cell r="C315" t="str">
            <v>Transport-related expenditure</v>
          </cell>
          <cell r="D315" t="str">
            <v>Driving and Vehicle Licences</v>
          </cell>
          <cell r="E315">
            <v>380000</v>
          </cell>
        </row>
        <row r="316">
          <cell r="A316">
            <v>300122</v>
          </cell>
          <cell r="B316" t="str">
            <v>Operators Licence</v>
          </cell>
          <cell r="C316" t="str">
            <v>Transport-related expenditure</v>
          </cell>
          <cell r="D316" t="str">
            <v>Driving and Vehicle Licences</v>
          </cell>
          <cell r="E316">
            <v>380000</v>
          </cell>
        </row>
        <row r="317">
          <cell r="A317">
            <v>300123</v>
          </cell>
          <cell r="B317" t="str">
            <v>Road Tax</v>
          </cell>
          <cell r="C317" t="str">
            <v>Transport-related expenditure</v>
          </cell>
          <cell r="D317" t="str">
            <v>Vehicle Excise Duty</v>
          </cell>
          <cell r="E317">
            <v>380000</v>
          </cell>
        </row>
        <row r="318">
          <cell r="A318">
            <v>300124</v>
          </cell>
          <cell r="B318" t="str">
            <v>Mot Test</v>
          </cell>
          <cell r="C318" t="str">
            <v>Transport-related expenditure</v>
          </cell>
          <cell r="D318" t="str">
            <v>MOT Charges</v>
          </cell>
          <cell r="E318">
            <v>380000</v>
          </cell>
        </row>
        <row r="319">
          <cell r="A319">
            <v>300140</v>
          </cell>
          <cell r="B319" t="str">
            <v>Petrol</v>
          </cell>
          <cell r="C319" t="str">
            <v>Transport-related expenditure</v>
          </cell>
          <cell r="D319" t="str">
            <v>Fuel</v>
          </cell>
          <cell r="E319">
            <v>381100</v>
          </cell>
        </row>
        <row r="320">
          <cell r="A320">
            <v>300141</v>
          </cell>
          <cell r="B320" t="str">
            <v>Diesel</v>
          </cell>
          <cell r="C320" t="str">
            <v>Transport-related expenditure</v>
          </cell>
          <cell r="D320" t="str">
            <v>Fuel</v>
          </cell>
          <cell r="E320">
            <v>381100</v>
          </cell>
        </row>
        <row r="321">
          <cell r="A321">
            <v>300142</v>
          </cell>
          <cell r="B321" t="str">
            <v>LPG</v>
          </cell>
          <cell r="C321" t="str">
            <v>Transport-related expenditure</v>
          </cell>
          <cell r="D321" t="str">
            <v>Fuel</v>
          </cell>
          <cell r="E321">
            <v>381100</v>
          </cell>
        </row>
        <row r="322">
          <cell r="A322">
            <v>300143</v>
          </cell>
          <cell r="B322" t="str">
            <v>Oil</v>
          </cell>
          <cell r="C322" t="str">
            <v>Transport-related expenditure</v>
          </cell>
          <cell r="D322" t="str">
            <v>Fuel</v>
          </cell>
          <cell r="E322">
            <v>381100</v>
          </cell>
        </row>
        <row r="323">
          <cell r="A323">
            <v>300300</v>
          </cell>
          <cell r="B323" t="str">
            <v>Car Leasing</v>
          </cell>
          <cell r="C323" t="str">
            <v>Transport-related expenditure</v>
          </cell>
          <cell r="D323" t="str">
            <v>Leasing /Transport Hire</v>
          </cell>
          <cell r="E323">
            <v>381600</v>
          </cell>
        </row>
        <row r="324">
          <cell r="A324">
            <v>300301</v>
          </cell>
          <cell r="B324" t="str">
            <v>Hired Transport-Pool</v>
          </cell>
          <cell r="C324" t="str">
            <v>Transport-related expenditure</v>
          </cell>
          <cell r="D324" t="str">
            <v>Leasing /Transport Hire</v>
          </cell>
          <cell r="E324">
            <v>381600</v>
          </cell>
        </row>
        <row r="325">
          <cell r="A325">
            <v>300302</v>
          </cell>
          <cell r="B325" t="str">
            <v>Hired Transport</v>
          </cell>
          <cell r="C325" t="str">
            <v>Transport-related expenditure</v>
          </cell>
          <cell r="D325" t="str">
            <v>Leasing /Transport Hire</v>
          </cell>
          <cell r="E325">
            <v>381600</v>
          </cell>
        </row>
        <row r="326">
          <cell r="A326">
            <v>300303</v>
          </cell>
          <cell r="B326" t="str">
            <v>Mini Bus Hire</v>
          </cell>
          <cell r="C326" t="str">
            <v>Transport-related expenditure</v>
          </cell>
          <cell r="D326" t="str">
            <v>Leasing /Transport Hire</v>
          </cell>
          <cell r="E326">
            <v>381600</v>
          </cell>
        </row>
        <row r="327">
          <cell r="A327">
            <v>300304</v>
          </cell>
          <cell r="B327" t="str">
            <v>Operating Lease</v>
          </cell>
          <cell r="C327" t="str">
            <v>Transport-related expenditure</v>
          </cell>
          <cell r="D327" t="str">
            <v>Leasing /Transport Hire</v>
          </cell>
          <cell r="E327">
            <v>381600</v>
          </cell>
        </row>
        <row r="328">
          <cell r="A328">
            <v>300305</v>
          </cell>
          <cell r="B328" t="str">
            <v>S/T Vehicle Debit</v>
          </cell>
          <cell r="C328" t="str">
            <v>Transport-related expenditure</v>
          </cell>
          <cell r="D328" t="str">
            <v>Transport-related expenditure</v>
          </cell>
          <cell r="E328">
            <v>999999</v>
          </cell>
        </row>
        <row r="329">
          <cell r="A329">
            <v>300306</v>
          </cell>
          <cell r="B329" t="str">
            <v>S/T Vehicle Credit</v>
          </cell>
          <cell r="C329" t="str">
            <v>Transport-related expenditure</v>
          </cell>
          <cell r="D329" t="str">
            <v>Transport-related expenditure</v>
          </cell>
          <cell r="E329">
            <v>999999</v>
          </cell>
        </row>
        <row r="330">
          <cell r="A330">
            <v>300401</v>
          </cell>
          <cell r="B330" t="str">
            <v>Fleet Management</v>
          </cell>
          <cell r="C330" t="str">
            <v>Transport-related expenditure</v>
          </cell>
          <cell r="D330" t="str">
            <v>Leasing /Transport Hire</v>
          </cell>
          <cell r="E330">
            <v>381600</v>
          </cell>
        </row>
        <row r="331">
          <cell r="A331">
            <v>300500</v>
          </cell>
          <cell r="B331" t="str">
            <v>Bus Fares</v>
          </cell>
          <cell r="C331" t="str">
            <v>Transport-related expenditure</v>
          </cell>
          <cell r="D331" t="str">
            <v>Travelling Expenses</v>
          </cell>
          <cell r="E331">
            <v>261600</v>
          </cell>
        </row>
        <row r="332">
          <cell r="A332">
            <v>300501</v>
          </cell>
          <cell r="B332" t="str">
            <v>Rail Fares</v>
          </cell>
          <cell r="C332" t="str">
            <v>Transport-related expenditure</v>
          </cell>
          <cell r="D332" t="str">
            <v>Travelling Expenses</v>
          </cell>
          <cell r="E332">
            <v>261600</v>
          </cell>
        </row>
        <row r="333">
          <cell r="A333">
            <v>300502</v>
          </cell>
          <cell r="B333" t="str">
            <v>Taxi Fares</v>
          </cell>
          <cell r="C333" t="str">
            <v>Transport-related expenditure</v>
          </cell>
          <cell r="D333" t="str">
            <v>Travelling Expenses</v>
          </cell>
          <cell r="E333">
            <v>361511</v>
          </cell>
        </row>
        <row r="334">
          <cell r="A334">
            <v>300503</v>
          </cell>
          <cell r="B334" t="str">
            <v>Flight Fares</v>
          </cell>
          <cell r="C334" t="str">
            <v>Transport-related expenditure</v>
          </cell>
          <cell r="D334" t="str">
            <v>Travelling Expenses</v>
          </cell>
          <cell r="E334">
            <v>261600</v>
          </cell>
        </row>
        <row r="335">
          <cell r="A335">
            <v>300504</v>
          </cell>
          <cell r="B335" t="str">
            <v>Student Travel</v>
          </cell>
          <cell r="C335" t="str">
            <v>Transport-related expenditure</v>
          </cell>
          <cell r="D335" t="str">
            <v>Travelling Expenses</v>
          </cell>
          <cell r="E335">
            <v>360000</v>
          </cell>
        </row>
        <row r="336">
          <cell r="A336">
            <v>300505</v>
          </cell>
          <cell r="B336" t="str">
            <v>Travel Insurance</v>
          </cell>
          <cell r="C336" t="str">
            <v>Transport-related expenditure</v>
          </cell>
          <cell r="D336" t="str">
            <v>Travelling Expenses</v>
          </cell>
          <cell r="E336">
            <v>261600</v>
          </cell>
        </row>
        <row r="337">
          <cell r="A337">
            <v>300506</v>
          </cell>
          <cell r="B337" t="str">
            <v>Sundry Travel Expens</v>
          </cell>
          <cell r="C337" t="str">
            <v>Transport-related expenditure</v>
          </cell>
          <cell r="D337" t="str">
            <v>Travelling Expenses</v>
          </cell>
          <cell r="E337">
            <v>261600</v>
          </cell>
        </row>
        <row r="338">
          <cell r="A338">
            <v>300507</v>
          </cell>
          <cell r="B338" t="str">
            <v>School Travel Plans</v>
          </cell>
          <cell r="C338" t="str">
            <v>Transport-related expenditure</v>
          </cell>
          <cell r="D338" t="str">
            <v>Travelling Expenses</v>
          </cell>
          <cell r="E338">
            <v>360000</v>
          </cell>
        </row>
        <row r="339">
          <cell r="A339">
            <v>300508</v>
          </cell>
          <cell r="B339" t="str">
            <v>Hire of Transport-BC</v>
          </cell>
          <cell r="C339" t="str">
            <v>Transport-related expenditure</v>
          </cell>
          <cell r="D339" t="str">
            <v>Travelling Expenses</v>
          </cell>
          <cell r="E339">
            <v>380000</v>
          </cell>
        </row>
        <row r="340">
          <cell r="A340">
            <v>300530</v>
          </cell>
          <cell r="B340" t="str">
            <v>Travel Exps-Board Me</v>
          </cell>
          <cell r="C340" t="str">
            <v>Transport-related expenditure</v>
          </cell>
          <cell r="D340" t="str">
            <v>Travelling Expenses</v>
          </cell>
          <cell r="E340">
            <v>261600</v>
          </cell>
        </row>
        <row r="341">
          <cell r="A341">
            <v>300531</v>
          </cell>
          <cell r="B341" t="str">
            <v>Travel Exps-Tennants</v>
          </cell>
          <cell r="C341" t="str">
            <v>Transport-related expenditure</v>
          </cell>
          <cell r="D341" t="str">
            <v>Travelling Expenses</v>
          </cell>
          <cell r="E341">
            <v>261600</v>
          </cell>
        </row>
        <row r="342">
          <cell r="A342">
            <v>300700</v>
          </cell>
          <cell r="B342" t="str">
            <v>Vehicle Ins Excesses</v>
          </cell>
          <cell r="C342" t="str">
            <v>Transport-related expenditure</v>
          </cell>
          <cell r="D342" t="str">
            <v>Vehicle Insurance</v>
          </cell>
          <cell r="E342">
            <v>380000</v>
          </cell>
        </row>
        <row r="343">
          <cell r="A343">
            <v>300710</v>
          </cell>
          <cell r="B343" t="str">
            <v>Vehicle Ins Premium</v>
          </cell>
          <cell r="C343" t="str">
            <v>Transport-related expenditure</v>
          </cell>
          <cell r="D343" t="str">
            <v>Vehicle Insurance</v>
          </cell>
          <cell r="E343">
            <v>380000</v>
          </cell>
        </row>
        <row r="344">
          <cell r="A344">
            <v>300900</v>
          </cell>
          <cell r="B344" t="str">
            <v>Car Allowance</v>
          </cell>
          <cell r="C344" t="str">
            <v>Transport-related expenditure</v>
          </cell>
          <cell r="D344" t="str">
            <v>Mileage Claims /Allowances</v>
          </cell>
          <cell r="E344">
            <v>261600</v>
          </cell>
        </row>
        <row r="345">
          <cell r="A345">
            <v>300902</v>
          </cell>
          <cell r="B345" t="str">
            <v>Staf Mileage Allow'</v>
          </cell>
          <cell r="C345" t="str">
            <v>Transport-related expenditure</v>
          </cell>
          <cell r="D345" t="str">
            <v>Mileage Claims /Allowances</v>
          </cell>
          <cell r="E345">
            <v>261600</v>
          </cell>
        </row>
        <row r="346">
          <cell r="A346">
            <v>300903</v>
          </cell>
          <cell r="B346" t="str">
            <v>Non Staff Mileage</v>
          </cell>
          <cell r="C346" t="str">
            <v>Transport-related expenditure</v>
          </cell>
          <cell r="D346" t="str">
            <v>Mileage Claims /Allowances</v>
          </cell>
          <cell r="E346">
            <v>261600</v>
          </cell>
        </row>
        <row r="347">
          <cell r="A347">
            <v>300904</v>
          </cell>
          <cell r="B347" t="str">
            <v>Mileage-Tennants</v>
          </cell>
          <cell r="C347" t="str">
            <v>Transport-related expenditure</v>
          </cell>
          <cell r="D347" t="str">
            <v>Mileage Claims /Allowances</v>
          </cell>
          <cell r="E347">
            <v>261600</v>
          </cell>
        </row>
        <row r="348">
          <cell r="A348">
            <v>300905</v>
          </cell>
          <cell r="B348" t="str">
            <v>Mileage-Board Member</v>
          </cell>
          <cell r="C348" t="str">
            <v>Transport-related expenditure</v>
          </cell>
          <cell r="D348" t="str">
            <v>Mileage Claims /Allowances</v>
          </cell>
          <cell r="E348">
            <v>261600</v>
          </cell>
        </row>
        <row r="349">
          <cell r="A349">
            <v>300920</v>
          </cell>
          <cell r="B349" t="str">
            <v>NI - Car Allowance</v>
          </cell>
          <cell r="C349" t="str">
            <v>Transport-related expenditure</v>
          </cell>
          <cell r="D349" t="str">
            <v>Mileage Claims /Allowances</v>
          </cell>
          <cell r="E349">
            <v>261600</v>
          </cell>
        </row>
        <row r="350">
          <cell r="A350">
            <v>301100</v>
          </cell>
          <cell r="B350" t="str">
            <v>Cont To Provision-Tr</v>
          </cell>
          <cell r="C350" t="str">
            <v>Transport-related expenditure</v>
          </cell>
          <cell r="D350" t="str">
            <v>Transport-related expenditure</v>
          </cell>
          <cell r="E350">
            <v>999999</v>
          </cell>
        </row>
        <row r="351">
          <cell r="A351">
            <v>301101</v>
          </cell>
          <cell r="B351" t="str">
            <v>Car Leasing Emp Cont</v>
          </cell>
          <cell r="C351" t="str">
            <v>Transport-related expenditure</v>
          </cell>
          <cell r="D351" t="str">
            <v>Transport-related expenditure</v>
          </cell>
          <cell r="E351">
            <v>999999</v>
          </cell>
        </row>
        <row r="352">
          <cell r="A352">
            <v>301120</v>
          </cell>
          <cell r="B352" t="str">
            <v>Travel Exp-Returning</v>
          </cell>
          <cell r="C352" t="str">
            <v>Transport-related expenditure</v>
          </cell>
          <cell r="D352" t="str">
            <v>Elections Expenditure</v>
          </cell>
          <cell r="E352">
            <v>261600</v>
          </cell>
        </row>
        <row r="353">
          <cell r="A353">
            <v>301121</v>
          </cell>
          <cell r="B353" t="str">
            <v>Travel Exp-Presiding</v>
          </cell>
          <cell r="C353" t="str">
            <v>Transport-related expenditure</v>
          </cell>
          <cell r="D353" t="str">
            <v>Elections Expenditure</v>
          </cell>
          <cell r="E353">
            <v>261600</v>
          </cell>
        </row>
        <row r="354">
          <cell r="A354">
            <v>301122</v>
          </cell>
          <cell r="B354" t="str">
            <v>Travel Exp-Poll Cler</v>
          </cell>
          <cell r="C354" t="str">
            <v>Transport-related expenditure</v>
          </cell>
          <cell r="D354" t="str">
            <v>Elections Expenditure</v>
          </cell>
          <cell r="E354">
            <v>261600</v>
          </cell>
        </row>
        <row r="355">
          <cell r="A355">
            <v>301123</v>
          </cell>
          <cell r="B355" t="str">
            <v>Travel Exp-Election</v>
          </cell>
          <cell r="C355" t="str">
            <v>Transport-related expenditure</v>
          </cell>
          <cell r="D355" t="str">
            <v>Elections Expenditure</v>
          </cell>
          <cell r="E355">
            <v>261600</v>
          </cell>
        </row>
        <row r="356">
          <cell r="A356">
            <v>400100</v>
          </cell>
          <cell r="B356" t="str">
            <v>Furniture</v>
          </cell>
          <cell r="C356" t="str">
            <v>Supplies and services</v>
          </cell>
          <cell r="D356" t="str">
            <v>Furniture and Equipment</v>
          </cell>
          <cell r="E356">
            <v>210000</v>
          </cell>
        </row>
        <row r="357">
          <cell r="A357">
            <v>400105</v>
          </cell>
          <cell r="B357" t="str">
            <v>Equipment-Specialist</v>
          </cell>
          <cell r="C357" t="str">
            <v>Supplies and services</v>
          </cell>
          <cell r="D357" t="str">
            <v>Furniture and Equipment</v>
          </cell>
          <cell r="E357">
            <v>210000</v>
          </cell>
        </row>
        <row r="358">
          <cell r="A358">
            <v>400106</v>
          </cell>
          <cell r="B358" t="str">
            <v>Equipment-Repairs</v>
          </cell>
          <cell r="C358" t="str">
            <v>Supplies and services</v>
          </cell>
          <cell r="D358" t="str">
            <v>Furniture and Equipment</v>
          </cell>
          <cell r="E358">
            <v>181800</v>
          </cell>
        </row>
        <row r="359">
          <cell r="A359">
            <v>400110</v>
          </cell>
          <cell r="B359" t="str">
            <v>Equipment</v>
          </cell>
          <cell r="C359" t="str">
            <v>Supplies and services</v>
          </cell>
          <cell r="D359" t="str">
            <v>Furniture and Equipment</v>
          </cell>
          <cell r="E359">
            <v>181800</v>
          </cell>
        </row>
        <row r="360">
          <cell r="A360">
            <v>400111</v>
          </cell>
          <cell r="B360" t="str">
            <v>Equipment Maintenanc</v>
          </cell>
          <cell r="C360" t="str">
            <v>Supplies and services</v>
          </cell>
          <cell r="D360" t="str">
            <v>Furniture and Equipment</v>
          </cell>
          <cell r="E360">
            <v>181800</v>
          </cell>
        </row>
        <row r="361">
          <cell r="A361">
            <v>400112</v>
          </cell>
          <cell r="B361" t="str">
            <v>Equipment Testing</v>
          </cell>
          <cell r="C361" t="str">
            <v>Supplies and services</v>
          </cell>
          <cell r="D361" t="str">
            <v>Furniture and Equipment</v>
          </cell>
          <cell r="E361">
            <v>181800</v>
          </cell>
        </row>
        <row r="362">
          <cell r="A362">
            <v>400113</v>
          </cell>
          <cell r="B362" t="str">
            <v>Equipment Leasing</v>
          </cell>
          <cell r="C362" t="str">
            <v>Supplies and services</v>
          </cell>
          <cell r="D362" t="str">
            <v>Furniture and Equipment</v>
          </cell>
          <cell r="E362">
            <v>181800</v>
          </cell>
        </row>
        <row r="363">
          <cell r="A363">
            <v>400114</v>
          </cell>
          <cell r="B363" t="str">
            <v>Equipment Disposal</v>
          </cell>
          <cell r="C363" t="str">
            <v>Supplies and services</v>
          </cell>
          <cell r="D363" t="str">
            <v>Furniture and Equipment</v>
          </cell>
          <cell r="E363">
            <v>181800</v>
          </cell>
        </row>
        <row r="364">
          <cell r="A364">
            <v>400115</v>
          </cell>
          <cell r="B364" t="str">
            <v>Materials</v>
          </cell>
          <cell r="C364" t="str">
            <v>Supplies and services</v>
          </cell>
          <cell r="D364" t="str">
            <v>Furniture and Equipment</v>
          </cell>
          <cell r="E364">
            <v>210000</v>
          </cell>
        </row>
        <row r="365">
          <cell r="A365">
            <v>400118</v>
          </cell>
          <cell r="B365" t="str">
            <v>Test purchasing</v>
          </cell>
          <cell r="C365" t="str">
            <v>Supplies and services</v>
          </cell>
          <cell r="D365" t="str">
            <v>Furniture and Equipment</v>
          </cell>
          <cell r="E365">
            <v>999999</v>
          </cell>
        </row>
        <row r="366">
          <cell r="A366">
            <v>400119</v>
          </cell>
          <cell r="B366" t="str">
            <v>Annual Servicing</v>
          </cell>
          <cell r="C366" t="str">
            <v>Supplies and services</v>
          </cell>
          <cell r="D366" t="str">
            <v>Supplies and services</v>
          </cell>
          <cell r="E366">
            <v>999999</v>
          </cell>
        </row>
        <row r="367">
          <cell r="A367">
            <v>400120</v>
          </cell>
          <cell r="B367" t="str">
            <v>Prov-Voting Furnitur</v>
          </cell>
          <cell r="C367" t="str">
            <v>Supplies and services</v>
          </cell>
          <cell r="D367" t="str">
            <v>Furniture and Equipment</v>
          </cell>
          <cell r="E367">
            <v>210000</v>
          </cell>
        </row>
        <row r="368">
          <cell r="A368">
            <v>400121</v>
          </cell>
          <cell r="B368" t="str">
            <v>Prov-Ballot Boxes Et</v>
          </cell>
          <cell r="C368" t="str">
            <v>Supplies and services</v>
          </cell>
          <cell r="D368" t="str">
            <v>Furniture and Equipment</v>
          </cell>
          <cell r="E368">
            <v>210000</v>
          </cell>
        </row>
        <row r="369">
          <cell r="A369">
            <v>400130</v>
          </cell>
          <cell r="B369" t="str">
            <v>Tools</v>
          </cell>
          <cell r="C369" t="str">
            <v>Supplies and services</v>
          </cell>
          <cell r="D369" t="str">
            <v>Furniture and Equipment</v>
          </cell>
          <cell r="E369">
            <v>102000</v>
          </cell>
        </row>
        <row r="370">
          <cell r="A370">
            <v>400131</v>
          </cell>
          <cell r="B370" t="str">
            <v>Tv Ariels</v>
          </cell>
          <cell r="C370" t="str">
            <v>Supplies and services</v>
          </cell>
          <cell r="D370" t="str">
            <v>Furniture and Equipment</v>
          </cell>
          <cell r="E370">
            <v>101100</v>
          </cell>
        </row>
        <row r="371">
          <cell r="A371">
            <v>400132</v>
          </cell>
          <cell r="B371" t="str">
            <v>Floor Coverings</v>
          </cell>
          <cell r="C371" t="str">
            <v>Supplies and services</v>
          </cell>
          <cell r="D371" t="str">
            <v>Furniture and Equipment</v>
          </cell>
          <cell r="E371">
            <v>101300</v>
          </cell>
        </row>
        <row r="372">
          <cell r="A372">
            <v>400133</v>
          </cell>
          <cell r="B372" t="str">
            <v>Skip Hire</v>
          </cell>
          <cell r="C372" t="str">
            <v>Supplies and services</v>
          </cell>
          <cell r="D372" t="str">
            <v>Furniture and Equipment</v>
          </cell>
          <cell r="E372">
            <v>182000</v>
          </cell>
        </row>
        <row r="373">
          <cell r="A373">
            <v>400201</v>
          </cell>
          <cell r="B373" t="str">
            <v>Audio Books</v>
          </cell>
          <cell r="C373" t="str">
            <v>Supplies and services</v>
          </cell>
          <cell r="D373" t="str">
            <v>Library Equipment</v>
          </cell>
          <cell r="E373">
            <v>171113</v>
          </cell>
        </row>
        <row r="374">
          <cell r="A374">
            <v>400202</v>
          </cell>
          <cell r="B374" t="str">
            <v>Books &amp; Publications</v>
          </cell>
          <cell r="C374" t="str">
            <v>Supplies and services</v>
          </cell>
          <cell r="D374" t="str">
            <v>Library Equipment</v>
          </cell>
          <cell r="E374">
            <v>171113</v>
          </cell>
        </row>
        <row r="375">
          <cell r="A375">
            <v>400203</v>
          </cell>
          <cell r="B375" t="str">
            <v>Cassettes</v>
          </cell>
          <cell r="C375" t="str">
            <v>Supplies and services</v>
          </cell>
          <cell r="D375" t="str">
            <v>Library Equipment</v>
          </cell>
          <cell r="E375">
            <v>171111</v>
          </cell>
        </row>
        <row r="376">
          <cell r="A376">
            <v>400204</v>
          </cell>
          <cell r="B376" t="str">
            <v>Compact Discs</v>
          </cell>
          <cell r="C376" t="str">
            <v>Supplies and services</v>
          </cell>
          <cell r="D376" t="str">
            <v>Library Equipment</v>
          </cell>
          <cell r="E376">
            <v>171111</v>
          </cell>
        </row>
        <row r="377">
          <cell r="A377">
            <v>400205</v>
          </cell>
          <cell r="B377" t="str">
            <v>DVD's</v>
          </cell>
          <cell r="C377" t="str">
            <v>Supplies and services</v>
          </cell>
          <cell r="D377" t="str">
            <v>Library Equipment</v>
          </cell>
          <cell r="E377">
            <v>171111</v>
          </cell>
        </row>
        <row r="378">
          <cell r="A378">
            <v>400206</v>
          </cell>
          <cell r="B378" t="str">
            <v>Newspaper &amp;Magazines</v>
          </cell>
          <cell r="C378" t="str">
            <v>Supplies and services</v>
          </cell>
          <cell r="D378" t="str">
            <v>Library Equipment</v>
          </cell>
          <cell r="E378">
            <v>171113</v>
          </cell>
        </row>
        <row r="379">
          <cell r="A379">
            <v>400207</v>
          </cell>
          <cell r="B379" t="str">
            <v>Library Books</v>
          </cell>
          <cell r="C379" t="str">
            <v>Supplies and services</v>
          </cell>
          <cell r="D379" t="str">
            <v>Library Equipment</v>
          </cell>
          <cell r="E379">
            <v>171113</v>
          </cell>
        </row>
        <row r="380">
          <cell r="A380">
            <v>400208</v>
          </cell>
          <cell r="B380" t="str">
            <v>Publications</v>
          </cell>
          <cell r="C380" t="str">
            <v>Supplies and services</v>
          </cell>
          <cell r="D380" t="str">
            <v>Library Equipment</v>
          </cell>
          <cell r="E380">
            <v>171113</v>
          </cell>
        </row>
        <row r="381">
          <cell r="A381">
            <v>400400</v>
          </cell>
          <cell r="B381" t="str">
            <v>Kitchen Caddy &amp; Star</v>
          </cell>
          <cell r="C381" t="str">
            <v>Supplies and services</v>
          </cell>
          <cell r="D381" t="str">
            <v>Waste Management Equipment</v>
          </cell>
          <cell r="E381">
            <v>182020</v>
          </cell>
        </row>
        <row r="382">
          <cell r="A382">
            <v>400401</v>
          </cell>
          <cell r="B382" t="str">
            <v>Containers</v>
          </cell>
          <cell r="C382" t="str">
            <v>Supplies and services</v>
          </cell>
          <cell r="D382" t="str">
            <v>Waste Management Equipment</v>
          </cell>
          <cell r="E382">
            <v>182020</v>
          </cell>
        </row>
        <row r="383">
          <cell r="A383">
            <v>400402</v>
          </cell>
          <cell r="B383" t="str">
            <v>Home Compost. Units</v>
          </cell>
          <cell r="C383" t="str">
            <v>Supplies and services</v>
          </cell>
          <cell r="D383" t="str">
            <v>Waste Management Equipment</v>
          </cell>
          <cell r="E383">
            <v>182020</v>
          </cell>
        </row>
        <row r="384">
          <cell r="A384">
            <v>400403</v>
          </cell>
          <cell r="B384" t="str">
            <v>Purchase Of Skips</v>
          </cell>
          <cell r="C384" t="str">
            <v>Supplies and services</v>
          </cell>
          <cell r="D384" t="str">
            <v>Waste Management Equipment</v>
          </cell>
          <cell r="E384">
            <v>182015</v>
          </cell>
        </row>
        <row r="385">
          <cell r="A385">
            <v>400420</v>
          </cell>
          <cell r="B385" t="str">
            <v>Catering Supplies</v>
          </cell>
          <cell r="C385" t="str">
            <v>Supplies and services</v>
          </cell>
          <cell r="D385" t="str">
            <v>Catering Supplies</v>
          </cell>
          <cell r="E385">
            <v>110000</v>
          </cell>
        </row>
        <row r="386">
          <cell r="A386">
            <v>400421</v>
          </cell>
          <cell r="B386" t="str">
            <v>Meals</v>
          </cell>
          <cell r="C386" t="str">
            <v>Supplies and services</v>
          </cell>
          <cell r="D386" t="str">
            <v>Catering Supplies</v>
          </cell>
          <cell r="E386">
            <v>111200</v>
          </cell>
        </row>
        <row r="387">
          <cell r="A387">
            <v>400422</v>
          </cell>
          <cell r="B387" t="str">
            <v>Food Provisions</v>
          </cell>
          <cell r="C387" t="str">
            <v>Supplies and services</v>
          </cell>
          <cell r="D387" t="str">
            <v>Catering Supplies</v>
          </cell>
          <cell r="E387">
            <v>111200</v>
          </cell>
        </row>
        <row r="388">
          <cell r="A388">
            <v>400423</v>
          </cell>
          <cell r="B388" t="str">
            <v>Milk</v>
          </cell>
          <cell r="C388" t="str">
            <v>Supplies and services</v>
          </cell>
          <cell r="D388" t="str">
            <v>Catering Supplies</v>
          </cell>
          <cell r="E388">
            <v>111200</v>
          </cell>
        </row>
        <row r="389">
          <cell r="A389">
            <v>400424</v>
          </cell>
          <cell r="B389" t="str">
            <v>Vending Supplies</v>
          </cell>
          <cell r="C389" t="str">
            <v>Supplies and services</v>
          </cell>
          <cell r="D389" t="str">
            <v>Catering Supplies</v>
          </cell>
          <cell r="E389">
            <v>111200</v>
          </cell>
        </row>
        <row r="390">
          <cell r="A390">
            <v>400601</v>
          </cell>
          <cell r="B390" t="str">
            <v>Childrens Clothing</v>
          </cell>
          <cell r="C390" t="str">
            <v>Supplies and services</v>
          </cell>
          <cell r="D390" t="str">
            <v>Clothing Uniforms and Laundry</v>
          </cell>
          <cell r="E390">
            <v>140000</v>
          </cell>
        </row>
        <row r="391">
          <cell r="A391">
            <v>400602</v>
          </cell>
          <cell r="B391" t="str">
            <v>Clothing</v>
          </cell>
          <cell r="C391" t="str">
            <v>Supplies and services</v>
          </cell>
          <cell r="D391" t="str">
            <v>Clothing Uniforms and Laundry</v>
          </cell>
          <cell r="E391">
            <v>140000</v>
          </cell>
        </row>
        <row r="392">
          <cell r="A392">
            <v>400603</v>
          </cell>
          <cell r="B392" t="str">
            <v>Laundry Costs</v>
          </cell>
          <cell r="C392" t="str">
            <v>Supplies and services</v>
          </cell>
          <cell r="D392" t="str">
            <v>Clothing Uniforms and Laundry</v>
          </cell>
          <cell r="E392">
            <v>131311</v>
          </cell>
        </row>
        <row r="393">
          <cell r="A393">
            <v>400604</v>
          </cell>
          <cell r="B393" t="str">
            <v>Protective Clothing</v>
          </cell>
          <cell r="C393" t="str">
            <v>Supplies and services</v>
          </cell>
          <cell r="D393" t="str">
            <v>Clothing Uniforms and Laundry</v>
          </cell>
          <cell r="E393">
            <v>140000</v>
          </cell>
        </row>
        <row r="394">
          <cell r="A394">
            <v>400605</v>
          </cell>
          <cell r="B394" t="str">
            <v>Residents Clothing</v>
          </cell>
          <cell r="C394" t="str">
            <v>Supplies and services</v>
          </cell>
          <cell r="D394" t="str">
            <v>Clothing Uniforms and Laundry</v>
          </cell>
          <cell r="E394">
            <v>140000</v>
          </cell>
        </row>
        <row r="395">
          <cell r="A395">
            <v>400606</v>
          </cell>
          <cell r="B395" t="str">
            <v>Uniforms</v>
          </cell>
          <cell r="C395" t="str">
            <v>Supplies and services</v>
          </cell>
          <cell r="D395" t="str">
            <v>Clothing Uniforms and Laundry</v>
          </cell>
          <cell r="E395">
            <v>140000</v>
          </cell>
        </row>
        <row r="396">
          <cell r="A396">
            <v>400607</v>
          </cell>
          <cell r="B396" t="str">
            <v>Bedding, Linen Etc</v>
          </cell>
          <cell r="C396" t="str">
            <v>Supplies and services</v>
          </cell>
          <cell r="D396" t="str">
            <v>Clothing Uniforms and Laundry</v>
          </cell>
          <cell r="E396">
            <v>210000</v>
          </cell>
        </row>
        <row r="397">
          <cell r="A397">
            <v>400700</v>
          </cell>
          <cell r="B397" t="str">
            <v>Advertising &amp; Public</v>
          </cell>
          <cell r="C397" t="str">
            <v>Supplies and services</v>
          </cell>
          <cell r="D397" t="str">
            <v>Office Expenses</v>
          </cell>
          <cell r="E397">
            <v>190000</v>
          </cell>
        </row>
        <row r="398">
          <cell r="A398">
            <v>400701</v>
          </cell>
          <cell r="B398" t="str">
            <v>Bottled Water</v>
          </cell>
          <cell r="C398" t="str">
            <v>Supplies and services</v>
          </cell>
          <cell r="D398" t="str">
            <v>Office Expenses</v>
          </cell>
          <cell r="E398">
            <v>110000</v>
          </cell>
        </row>
        <row r="399">
          <cell r="A399">
            <v>400702</v>
          </cell>
          <cell r="B399" t="str">
            <v>Cash In Transit</v>
          </cell>
          <cell r="C399" t="str">
            <v>Supplies and services</v>
          </cell>
          <cell r="D399" t="str">
            <v>Office Expenses</v>
          </cell>
          <cell r="E399">
            <v>200000</v>
          </cell>
        </row>
        <row r="400">
          <cell r="A400">
            <v>400703</v>
          </cell>
          <cell r="B400" t="str">
            <v>File Storage-Scannin</v>
          </cell>
          <cell r="C400" t="str">
            <v>Supplies and services</v>
          </cell>
          <cell r="D400" t="str">
            <v>Office Expenses</v>
          </cell>
          <cell r="E400">
            <v>190000</v>
          </cell>
        </row>
        <row r="401">
          <cell r="A401">
            <v>400704</v>
          </cell>
          <cell r="B401" t="str">
            <v>Health &amp; Safety Equi</v>
          </cell>
          <cell r="C401" t="str">
            <v>Supplies and services</v>
          </cell>
          <cell r="D401" t="str">
            <v>Office Expenses</v>
          </cell>
          <cell r="E401">
            <v>220000</v>
          </cell>
        </row>
        <row r="402">
          <cell r="A402">
            <v>400705</v>
          </cell>
          <cell r="B402" t="str">
            <v>Hire Of Rooms</v>
          </cell>
          <cell r="C402" t="str">
            <v>Supplies and services</v>
          </cell>
          <cell r="D402" t="str">
            <v>Office Expenses</v>
          </cell>
          <cell r="E402">
            <v>190000</v>
          </cell>
        </row>
        <row r="403">
          <cell r="A403">
            <v>400706</v>
          </cell>
          <cell r="B403" t="str">
            <v>Occupational Health</v>
          </cell>
          <cell r="C403" t="str">
            <v>Supplies and services</v>
          </cell>
          <cell r="D403" t="str">
            <v>Fees and Charges</v>
          </cell>
          <cell r="E403">
            <v>311410</v>
          </cell>
        </row>
        <row r="404">
          <cell r="A404">
            <v>400707</v>
          </cell>
          <cell r="B404" t="str">
            <v>Supplies/Stationery</v>
          </cell>
          <cell r="C404" t="str">
            <v>Supplies and services</v>
          </cell>
          <cell r="D404" t="str">
            <v>Office Expenses</v>
          </cell>
          <cell r="E404">
            <v>340000</v>
          </cell>
        </row>
        <row r="405">
          <cell r="A405">
            <v>400708</v>
          </cell>
          <cell r="B405" t="str">
            <v>Photocopying</v>
          </cell>
          <cell r="C405" t="str">
            <v>Supplies and services</v>
          </cell>
          <cell r="D405" t="str">
            <v>Office Expenses</v>
          </cell>
          <cell r="E405">
            <v>190000</v>
          </cell>
        </row>
        <row r="406">
          <cell r="A406">
            <v>400709</v>
          </cell>
          <cell r="B406" t="str">
            <v>Photographs</v>
          </cell>
          <cell r="C406" t="str">
            <v>Supplies and services</v>
          </cell>
          <cell r="D406" t="str">
            <v>Office Expenses</v>
          </cell>
          <cell r="E406">
            <v>190000</v>
          </cell>
        </row>
        <row r="407">
          <cell r="A407">
            <v>400710</v>
          </cell>
          <cell r="B407" t="str">
            <v>Public Consultation</v>
          </cell>
          <cell r="C407" t="str">
            <v>Supplies and services</v>
          </cell>
          <cell r="D407" t="str">
            <v>Office Expenses</v>
          </cell>
          <cell r="E407">
            <v>190000</v>
          </cell>
        </row>
        <row r="408">
          <cell r="A408">
            <v>400711</v>
          </cell>
          <cell r="B408" t="str">
            <v>Postage &amp;Postal Lice</v>
          </cell>
          <cell r="C408" t="str">
            <v>Supplies and services</v>
          </cell>
          <cell r="D408" t="str">
            <v>Office Expenses</v>
          </cell>
          <cell r="E408">
            <v>300000</v>
          </cell>
        </row>
        <row r="409">
          <cell r="A409">
            <v>400712</v>
          </cell>
          <cell r="B409" t="str">
            <v>Relocation Costs</v>
          </cell>
          <cell r="C409" t="str">
            <v>Supplies and services</v>
          </cell>
          <cell r="D409" t="str">
            <v>Office Expenses</v>
          </cell>
          <cell r="E409">
            <v>190000</v>
          </cell>
        </row>
        <row r="410">
          <cell r="A410">
            <v>400713</v>
          </cell>
          <cell r="B410" t="str">
            <v>Beverage-Visitors/St</v>
          </cell>
          <cell r="C410" t="str">
            <v>Supplies and services</v>
          </cell>
          <cell r="D410" t="str">
            <v>Office Expenses</v>
          </cell>
          <cell r="E410">
            <v>110000</v>
          </cell>
        </row>
        <row r="411">
          <cell r="A411">
            <v>400714</v>
          </cell>
          <cell r="B411" t="str">
            <v>Petty Cash Reimbs'mt</v>
          </cell>
          <cell r="C411" t="str">
            <v>Supplies and services</v>
          </cell>
          <cell r="D411" t="str">
            <v>Office Expenses</v>
          </cell>
          <cell r="E411">
            <v>999999</v>
          </cell>
        </row>
        <row r="412">
          <cell r="A412">
            <v>400800</v>
          </cell>
          <cell r="B412" t="str">
            <v>Printing</v>
          </cell>
          <cell r="C412" t="str">
            <v>Supplies and services</v>
          </cell>
          <cell r="D412" t="str">
            <v>Printing and Photocopying</v>
          </cell>
          <cell r="E412">
            <v>191600</v>
          </cell>
        </row>
        <row r="413">
          <cell r="A413">
            <v>400810</v>
          </cell>
          <cell r="B413" t="str">
            <v>Printing-Other</v>
          </cell>
          <cell r="C413" t="str">
            <v>Supplies and services</v>
          </cell>
          <cell r="D413" t="str">
            <v>Printing and Photocopying</v>
          </cell>
          <cell r="E413">
            <v>191600</v>
          </cell>
        </row>
        <row r="414">
          <cell r="A414">
            <v>400820</v>
          </cell>
          <cell r="B414" t="str">
            <v>Printing-Ballot Pape</v>
          </cell>
          <cell r="C414" t="str">
            <v>Supplies and services</v>
          </cell>
          <cell r="D414" t="str">
            <v>Printing and Photocopying</v>
          </cell>
          <cell r="E414">
            <v>191600</v>
          </cell>
        </row>
        <row r="415">
          <cell r="A415">
            <v>400821</v>
          </cell>
          <cell r="B415" t="str">
            <v>Printing-Postal Vote</v>
          </cell>
          <cell r="C415" t="str">
            <v>Supplies and services</v>
          </cell>
          <cell r="D415" t="str">
            <v>Printing and Photocopying</v>
          </cell>
          <cell r="E415">
            <v>191600</v>
          </cell>
        </row>
        <row r="416">
          <cell r="A416">
            <v>400822</v>
          </cell>
          <cell r="B416" t="str">
            <v>Printing-Poll Cards</v>
          </cell>
          <cell r="C416" t="str">
            <v>Supplies and services</v>
          </cell>
          <cell r="D416" t="str">
            <v>Printing and Photocopying</v>
          </cell>
          <cell r="E416">
            <v>191600</v>
          </cell>
        </row>
        <row r="417">
          <cell r="A417">
            <v>400823</v>
          </cell>
          <cell r="B417" t="str">
            <v>Printing-Notices Etc</v>
          </cell>
          <cell r="C417" t="str">
            <v>Supplies and services</v>
          </cell>
          <cell r="D417" t="str">
            <v>Printing and Photocopying</v>
          </cell>
          <cell r="E417">
            <v>191600</v>
          </cell>
        </row>
        <row r="418">
          <cell r="A418">
            <v>400824</v>
          </cell>
          <cell r="B418" t="str">
            <v>Printing-Large Print</v>
          </cell>
          <cell r="C418" t="str">
            <v>Supplies and services</v>
          </cell>
          <cell r="D418" t="str">
            <v>Printing and Photocopying</v>
          </cell>
          <cell r="E418">
            <v>191600</v>
          </cell>
        </row>
        <row r="419">
          <cell r="A419">
            <v>401000</v>
          </cell>
          <cell r="B419" t="str">
            <v>Analysis Fees</v>
          </cell>
          <cell r="C419" t="str">
            <v>Supplies and services</v>
          </cell>
          <cell r="D419" t="str">
            <v>Fees and Charges</v>
          </cell>
          <cell r="E419">
            <v>220000</v>
          </cell>
        </row>
        <row r="420">
          <cell r="A420">
            <v>401001</v>
          </cell>
          <cell r="B420" t="str">
            <v>Artists Fees</v>
          </cell>
          <cell r="C420" t="str">
            <v>Supplies and services</v>
          </cell>
          <cell r="D420" t="str">
            <v>Professional Fees</v>
          </cell>
          <cell r="E420">
            <v>290000</v>
          </cell>
        </row>
        <row r="421">
          <cell r="A421">
            <v>401002</v>
          </cell>
          <cell r="B421" t="str">
            <v>Auctioneer Fees</v>
          </cell>
          <cell r="C421" t="str">
            <v>Supplies and services</v>
          </cell>
          <cell r="D421" t="str">
            <v>Fees and Charges</v>
          </cell>
          <cell r="E421">
            <v>200000</v>
          </cell>
        </row>
        <row r="422">
          <cell r="A422">
            <v>401003</v>
          </cell>
          <cell r="B422" t="str">
            <v>Auditors Fees</v>
          </cell>
          <cell r="C422" t="str">
            <v>Supplies and services</v>
          </cell>
          <cell r="D422" t="str">
            <v>Professional Fees</v>
          </cell>
          <cell r="E422">
            <v>201100</v>
          </cell>
        </row>
        <row r="423">
          <cell r="A423">
            <v>401004</v>
          </cell>
          <cell r="B423" t="str">
            <v>Bailiffs Fees</v>
          </cell>
          <cell r="C423" t="str">
            <v>Supplies and services</v>
          </cell>
          <cell r="D423" t="str">
            <v>Fees and Charges</v>
          </cell>
          <cell r="E423">
            <v>200000</v>
          </cell>
        </row>
        <row r="424">
          <cell r="A424">
            <v>401005</v>
          </cell>
          <cell r="B424" t="str">
            <v>Bank &amp;Cr Card Charge</v>
          </cell>
          <cell r="C424" t="str">
            <v>Supplies and services</v>
          </cell>
          <cell r="D424" t="str">
            <v>Fees and Charges</v>
          </cell>
          <cell r="E424">
            <v>200000</v>
          </cell>
        </row>
        <row r="425">
          <cell r="A425">
            <v>401006</v>
          </cell>
          <cell r="B425" t="str">
            <v>Building Control Fee</v>
          </cell>
          <cell r="C425" t="str">
            <v>Supplies and services</v>
          </cell>
          <cell r="D425" t="str">
            <v>Fees and Charges</v>
          </cell>
          <cell r="E425">
            <v>391114</v>
          </cell>
        </row>
        <row r="426">
          <cell r="A426">
            <v>401007</v>
          </cell>
          <cell r="B426" t="str">
            <v>Consultancy Fees</v>
          </cell>
          <cell r="C426" t="str">
            <v>Supplies and services</v>
          </cell>
          <cell r="D426" t="str">
            <v>Professional Fees</v>
          </cell>
          <cell r="E426">
            <v>150000</v>
          </cell>
        </row>
        <row r="427">
          <cell r="A427">
            <v>401008</v>
          </cell>
          <cell r="B427" t="str">
            <v>Court Costs</v>
          </cell>
          <cell r="C427" t="str">
            <v>Supplies and services</v>
          </cell>
          <cell r="D427" t="str">
            <v>Legal Fees</v>
          </cell>
          <cell r="E427">
            <v>280000</v>
          </cell>
        </row>
        <row r="428">
          <cell r="A428">
            <v>401009</v>
          </cell>
          <cell r="B428" t="str">
            <v>Death Certificates</v>
          </cell>
          <cell r="C428" t="str">
            <v>Supplies and services</v>
          </cell>
          <cell r="D428" t="str">
            <v>Fees and Charges</v>
          </cell>
          <cell r="E428">
            <v>120000</v>
          </cell>
        </row>
        <row r="429">
          <cell r="A429">
            <v>401010</v>
          </cell>
          <cell r="B429" t="str">
            <v>Depot Charge</v>
          </cell>
          <cell r="C429" t="str">
            <v>Supplies and services</v>
          </cell>
          <cell r="D429" t="str">
            <v>Fees and Charges</v>
          </cell>
          <cell r="E429">
            <v>190000</v>
          </cell>
        </row>
        <row r="430">
          <cell r="A430">
            <v>401011</v>
          </cell>
          <cell r="B430" t="str">
            <v>Epa Monitoring Fees</v>
          </cell>
          <cell r="C430" t="str">
            <v>Supplies and services</v>
          </cell>
          <cell r="D430" t="str">
            <v>Fees and Charges</v>
          </cell>
          <cell r="E430">
            <v>180000</v>
          </cell>
        </row>
        <row r="431">
          <cell r="A431">
            <v>401012</v>
          </cell>
          <cell r="B431" t="str">
            <v>Examination Fees</v>
          </cell>
          <cell r="C431" t="str">
            <v>Supplies and services</v>
          </cell>
          <cell r="D431" t="str">
            <v>Fees and Charges</v>
          </cell>
          <cell r="E431">
            <v>171012</v>
          </cell>
        </row>
        <row r="432">
          <cell r="A432">
            <v>401013</v>
          </cell>
          <cell r="B432" t="str">
            <v>Insurance Fees</v>
          </cell>
          <cell r="C432" t="str">
            <v>Supplies and services</v>
          </cell>
          <cell r="D432" t="str">
            <v>Insurance</v>
          </cell>
          <cell r="E432">
            <v>201800</v>
          </cell>
        </row>
        <row r="433">
          <cell r="A433">
            <v>401014</v>
          </cell>
          <cell r="B433" t="str">
            <v>Interest Fees</v>
          </cell>
          <cell r="C433" t="str">
            <v>Supplies and services</v>
          </cell>
          <cell r="D433" t="str">
            <v>Fees and Charges</v>
          </cell>
          <cell r="E433">
            <v>200000</v>
          </cell>
        </row>
        <row r="434">
          <cell r="A434">
            <v>401015</v>
          </cell>
          <cell r="B434" t="str">
            <v>Land Registry&amp;Charge</v>
          </cell>
          <cell r="C434" t="str">
            <v>Supplies and services</v>
          </cell>
          <cell r="D434" t="str">
            <v>Fees and Charges</v>
          </cell>
          <cell r="E434">
            <v>390000</v>
          </cell>
        </row>
        <row r="435">
          <cell r="A435">
            <v>401016</v>
          </cell>
          <cell r="B435" t="str">
            <v>Legal Fees</v>
          </cell>
          <cell r="C435" t="str">
            <v>Supplies and services</v>
          </cell>
          <cell r="D435" t="str">
            <v>Legal Fees</v>
          </cell>
          <cell r="E435">
            <v>280000</v>
          </cell>
        </row>
        <row r="436">
          <cell r="A436">
            <v>401017</v>
          </cell>
          <cell r="B436" t="str">
            <v>Licence Fees</v>
          </cell>
          <cell r="C436" t="str">
            <v>Supplies and services</v>
          </cell>
          <cell r="D436" t="str">
            <v>Fees and Charges</v>
          </cell>
          <cell r="E436">
            <v>390000</v>
          </cell>
        </row>
        <row r="437">
          <cell r="A437">
            <v>401018</v>
          </cell>
          <cell r="B437" t="str">
            <v>Planning Applic Fees</v>
          </cell>
          <cell r="C437" t="str">
            <v>Supplies and services</v>
          </cell>
          <cell r="D437" t="str">
            <v>Fees and Charges</v>
          </cell>
          <cell r="E437">
            <v>390000</v>
          </cell>
        </row>
        <row r="438">
          <cell r="A438">
            <v>401019</v>
          </cell>
          <cell r="B438" t="str">
            <v>Practising Certif'S</v>
          </cell>
          <cell r="C438" t="str">
            <v>Supplies and services</v>
          </cell>
          <cell r="D438" t="str">
            <v>Legal Fees</v>
          </cell>
          <cell r="E438">
            <v>280000</v>
          </cell>
        </row>
        <row r="439">
          <cell r="A439">
            <v>401020</v>
          </cell>
          <cell r="B439" t="str">
            <v>Professional Fees</v>
          </cell>
          <cell r="C439" t="str">
            <v>Supplies and services</v>
          </cell>
          <cell r="D439" t="str">
            <v>Professional Fees</v>
          </cell>
          <cell r="E439">
            <v>150000</v>
          </cell>
        </row>
        <row r="440">
          <cell r="A440">
            <v>401021</v>
          </cell>
          <cell r="B440" t="str">
            <v>Registration &amp;Ins Fe</v>
          </cell>
          <cell r="C440" t="str">
            <v>Supplies and services</v>
          </cell>
          <cell r="D440" t="str">
            <v>Fees and Charges</v>
          </cell>
          <cell r="E440">
            <v>390000</v>
          </cell>
        </row>
        <row r="441">
          <cell r="A441">
            <v>401022</v>
          </cell>
          <cell r="B441" t="str">
            <v>Stamp Duty</v>
          </cell>
          <cell r="C441" t="str">
            <v>Supplies and services</v>
          </cell>
          <cell r="D441" t="str">
            <v>Fees and Charges</v>
          </cell>
          <cell r="E441">
            <v>390000</v>
          </cell>
        </row>
        <row r="442">
          <cell r="A442">
            <v>401023</v>
          </cell>
          <cell r="B442" t="str">
            <v>Translation &amp;Int Fee</v>
          </cell>
          <cell r="C442" t="str">
            <v>Supplies and services</v>
          </cell>
          <cell r="D442" t="str">
            <v>Professional Fees</v>
          </cell>
          <cell r="E442">
            <v>261100</v>
          </cell>
        </row>
        <row r="443">
          <cell r="A443">
            <v>401024</v>
          </cell>
          <cell r="B443" t="str">
            <v>Tuition/Training Fee</v>
          </cell>
          <cell r="C443" t="str">
            <v>Supplies and services</v>
          </cell>
          <cell r="D443" t="str">
            <v>Fees and Charges</v>
          </cell>
          <cell r="E443">
            <v>261500</v>
          </cell>
        </row>
        <row r="444">
          <cell r="A444">
            <v>401025</v>
          </cell>
          <cell r="B444" t="str">
            <v>Search Fees</v>
          </cell>
          <cell r="C444" t="str">
            <v>Supplies and services</v>
          </cell>
          <cell r="D444" t="str">
            <v>Fees and Charges</v>
          </cell>
          <cell r="E444">
            <v>280000</v>
          </cell>
        </row>
        <row r="445">
          <cell r="A445">
            <v>401026</v>
          </cell>
          <cell r="B445" t="str">
            <v>Pupil Exclusion Cost</v>
          </cell>
          <cell r="C445" t="str">
            <v>Supplies and services</v>
          </cell>
          <cell r="D445" t="str">
            <v>Fees and Charges</v>
          </cell>
          <cell r="E445">
            <v>170000</v>
          </cell>
        </row>
        <row r="446">
          <cell r="A446">
            <v>401027</v>
          </cell>
          <cell r="B446" t="str">
            <v>Magistrates Duty</v>
          </cell>
          <cell r="C446" t="str">
            <v>Supplies and services</v>
          </cell>
          <cell r="D446" t="str">
            <v>Legal Fees</v>
          </cell>
          <cell r="E446">
            <v>280000</v>
          </cell>
        </row>
        <row r="447">
          <cell r="A447">
            <v>401028</v>
          </cell>
          <cell r="B447" t="str">
            <v>Tv Licences</v>
          </cell>
          <cell r="C447" t="str">
            <v>Supplies and services</v>
          </cell>
          <cell r="D447" t="str">
            <v>Fees and Charges</v>
          </cell>
          <cell r="E447">
            <v>190000</v>
          </cell>
        </row>
        <row r="448">
          <cell r="A448">
            <v>401029</v>
          </cell>
          <cell r="B448" t="str">
            <v>Audit Fees-Grants</v>
          </cell>
          <cell r="C448" t="str">
            <v>Supplies and services</v>
          </cell>
          <cell r="D448" t="str">
            <v>Professional Fees</v>
          </cell>
          <cell r="E448">
            <v>201100</v>
          </cell>
        </row>
        <row r="449">
          <cell r="A449">
            <v>401030</v>
          </cell>
          <cell r="B449" t="str">
            <v>Court Fees - Ar Debt</v>
          </cell>
          <cell r="C449" t="str">
            <v>Supplies and services</v>
          </cell>
          <cell r="D449" t="str">
            <v>Legal Fees</v>
          </cell>
          <cell r="E449">
            <v>280000</v>
          </cell>
        </row>
        <row r="450">
          <cell r="A450">
            <v>401031</v>
          </cell>
          <cell r="B450" t="str">
            <v>Architects Fees</v>
          </cell>
          <cell r="C450" t="str">
            <v>Supplies and services</v>
          </cell>
          <cell r="D450" t="str">
            <v>Professional Fees</v>
          </cell>
          <cell r="E450">
            <v>391000</v>
          </cell>
        </row>
        <row r="451">
          <cell r="A451">
            <v>401032</v>
          </cell>
          <cell r="B451" t="str">
            <v>Engineers fees</v>
          </cell>
          <cell r="C451" t="str">
            <v>Supplies and services</v>
          </cell>
          <cell r="D451" t="str">
            <v>Professional Fees</v>
          </cell>
          <cell r="E451">
            <v>391200</v>
          </cell>
        </row>
        <row r="452">
          <cell r="A452">
            <v>401033</v>
          </cell>
          <cell r="B452" t="str">
            <v>Pupil Offsite course</v>
          </cell>
          <cell r="C452" t="str">
            <v>Supplies and services</v>
          </cell>
          <cell r="D452" t="str">
            <v>Fees and Charges</v>
          </cell>
          <cell r="E452">
            <v>170000</v>
          </cell>
        </row>
        <row r="453">
          <cell r="A453">
            <v>401034</v>
          </cell>
          <cell r="B453" t="str">
            <v>Late Vendor Payment</v>
          </cell>
          <cell r="C453" t="str">
            <v>Supplies and services</v>
          </cell>
          <cell r="D453" t="str">
            <v>Fees and Charges</v>
          </cell>
          <cell r="E453">
            <v>200000</v>
          </cell>
        </row>
        <row r="454">
          <cell r="A454">
            <v>401035</v>
          </cell>
          <cell r="B454" t="str">
            <v>Fees -Other</v>
          </cell>
          <cell r="C454" t="str">
            <v>Supplies and services</v>
          </cell>
          <cell r="D454" t="str">
            <v>Fees and Charges</v>
          </cell>
          <cell r="E454">
            <v>999999</v>
          </cell>
        </row>
        <row r="455">
          <cell r="A455">
            <v>401036</v>
          </cell>
          <cell r="B455" t="str">
            <v>Fees -Other</v>
          </cell>
          <cell r="C455" t="str">
            <v>Supplies and services</v>
          </cell>
          <cell r="D455" t="str">
            <v>Fees and Charges</v>
          </cell>
          <cell r="E455">
            <v>999999</v>
          </cell>
        </row>
        <row r="456">
          <cell r="A456">
            <v>401200</v>
          </cell>
          <cell r="B456" t="str">
            <v>Burials&amp; Cremations</v>
          </cell>
          <cell r="C456" t="str">
            <v>Supplies and services</v>
          </cell>
          <cell r="D456" t="str">
            <v>Fees and Charges</v>
          </cell>
          <cell r="E456">
            <v>120000</v>
          </cell>
        </row>
        <row r="457">
          <cell r="A457">
            <v>401201</v>
          </cell>
          <cell r="B457" t="str">
            <v>Burials&amp; Crem'S-Memr</v>
          </cell>
          <cell r="C457" t="str">
            <v>Supplies and services</v>
          </cell>
          <cell r="D457" t="str">
            <v>Fees and Charges</v>
          </cell>
          <cell r="E457">
            <v>121000</v>
          </cell>
        </row>
        <row r="458">
          <cell r="A458">
            <v>401202</v>
          </cell>
          <cell r="B458" t="str">
            <v>Company Searches</v>
          </cell>
          <cell r="C458" t="str">
            <v>Supplies and services</v>
          </cell>
          <cell r="D458" t="str">
            <v>Fees and Charges</v>
          </cell>
          <cell r="E458">
            <v>200000</v>
          </cell>
        </row>
        <row r="459">
          <cell r="A459">
            <v>401205</v>
          </cell>
          <cell r="B459" t="str">
            <v>Dog Kennelling Cont</v>
          </cell>
          <cell r="C459" t="str">
            <v>Supplies and services</v>
          </cell>
          <cell r="D459" t="str">
            <v>Animal Welfare</v>
          </cell>
          <cell r="E459">
            <v>180010</v>
          </cell>
        </row>
        <row r="460">
          <cell r="A460">
            <v>401206</v>
          </cell>
          <cell r="B460" t="str">
            <v>Dog Warden Contract</v>
          </cell>
          <cell r="C460" t="str">
            <v>Supplies and services</v>
          </cell>
          <cell r="D460" t="str">
            <v>Animal Welfare</v>
          </cell>
          <cell r="E460">
            <v>180010</v>
          </cell>
        </row>
        <row r="461">
          <cell r="A461">
            <v>401207</v>
          </cell>
          <cell r="B461" t="str">
            <v>Dogbins-Empty &amp;Maint</v>
          </cell>
          <cell r="C461" t="str">
            <v>Supplies and services</v>
          </cell>
          <cell r="D461" t="str">
            <v>Animal Welfare</v>
          </cell>
          <cell r="E461">
            <v>180010</v>
          </cell>
        </row>
        <row r="462">
          <cell r="A462">
            <v>401208</v>
          </cell>
          <cell r="B462" t="str">
            <v>Educational Visits</v>
          </cell>
          <cell r="C462" t="str">
            <v>Supplies and services</v>
          </cell>
          <cell r="D462" t="str">
            <v>Fees and Charges</v>
          </cell>
          <cell r="E462">
            <v>170000</v>
          </cell>
        </row>
        <row r="463">
          <cell r="A463">
            <v>401209</v>
          </cell>
          <cell r="B463" t="str">
            <v>Mediation Service</v>
          </cell>
          <cell r="C463" t="str">
            <v>Supplies and services</v>
          </cell>
          <cell r="D463" t="str">
            <v>Fees and Charges</v>
          </cell>
          <cell r="E463">
            <v>261200</v>
          </cell>
        </row>
        <row r="464">
          <cell r="A464">
            <v>401210</v>
          </cell>
          <cell r="B464" t="str">
            <v>Medical Reports</v>
          </cell>
          <cell r="C464" t="str">
            <v>Supplies and services</v>
          </cell>
          <cell r="D464" t="str">
            <v>Fees and Charges</v>
          </cell>
          <cell r="E464">
            <v>310000</v>
          </cell>
        </row>
        <row r="465">
          <cell r="A465">
            <v>401211</v>
          </cell>
          <cell r="B465" t="str">
            <v>Mediscreen</v>
          </cell>
          <cell r="C465" t="str">
            <v>Supplies and services</v>
          </cell>
          <cell r="D465" t="str">
            <v>Fees and Charges</v>
          </cell>
          <cell r="E465">
            <v>311410</v>
          </cell>
        </row>
        <row r="466">
          <cell r="A466">
            <v>401212</v>
          </cell>
          <cell r="B466" t="str">
            <v>Physiotherapy</v>
          </cell>
          <cell r="C466" t="str">
            <v>Supplies and services</v>
          </cell>
          <cell r="D466" t="str">
            <v>Fees and Charges</v>
          </cell>
          <cell r="E466">
            <v>311410</v>
          </cell>
        </row>
        <row r="467">
          <cell r="A467">
            <v>401213</v>
          </cell>
          <cell r="B467" t="str">
            <v>Vet-Animal Licensing</v>
          </cell>
          <cell r="C467" t="str">
            <v>Supplies and services</v>
          </cell>
          <cell r="D467" t="str">
            <v>Animal Welfare</v>
          </cell>
          <cell r="E467">
            <v>180010</v>
          </cell>
        </row>
        <row r="468">
          <cell r="A468">
            <v>401214</v>
          </cell>
          <cell r="B468" t="str">
            <v>Vet-Stray Dogs</v>
          </cell>
          <cell r="C468" t="str">
            <v>Supplies and services</v>
          </cell>
          <cell r="D468" t="str">
            <v>Animal Welfare</v>
          </cell>
          <cell r="E468">
            <v>180010</v>
          </cell>
        </row>
        <row r="469">
          <cell r="A469">
            <v>401215</v>
          </cell>
          <cell r="B469" t="str">
            <v>Fin Contractor Appra</v>
          </cell>
          <cell r="C469" t="str">
            <v>Supplies and services</v>
          </cell>
          <cell r="D469" t="str">
            <v>Fees and Charges</v>
          </cell>
          <cell r="E469">
            <v>200000</v>
          </cell>
        </row>
        <row r="470">
          <cell r="A470">
            <v>401216</v>
          </cell>
          <cell r="B470" t="str">
            <v>COS Adjustment</v>
          </cell>
          <cell r="C470" t="str">
            <v>Supplies and services</v>
          </cell>
          <cell r="D470" t="str">
            <v>Supplies and services</v>
          </cell>
          <cell r="E470">
            <v>999999</v>
          </cell>
        </row>
        <row r="471">
          <cell r="A471">
            <v>401400</v>
          </cell>
          <cell r="B471" t="str">
            <v>Buy-Back Legal Serv</v>
          </cell>
          <cell r="C471" t="str">
            <v>Supplies and services</v>
          </cell>
          <cell r="D471" t="str">
            <v>Supplies and services</v>
          </cell>
          <cell r="E471">
            <v>999999</v>
          </cell>
        </row>
        <row r="472">
          <cell r="A472">
            <v>401401</v>
          </cell>
          <cell r="B472" t="str">
            <v>Buy-Back: Advisory</v>
          </cell>
          <cell r="C472" t="str">
            <v>Supplies and services</v>
          </cell>
          <cell r="D472" t="str">
            <v>Supplies and services</v>
          </cell>
          <cell r="E472">
            <v>999999</v>
          </cell>
        </row>
        <row r="473">
          <cell r="A473">
            <v>401402</v>
          </cell>
          <cell r="B473" t="str">
            <v>Buy-Back: It Audio V</v>
          </cell>
          <cell r="C473" t="str">
            <v>Supplies and services</v>
          </cell>
          <cell r="D473" t="str">
            <v>Supplies and services</v>
          </cell>
          <cell r="E473">
            <v>999999</v>
          </cell>
        </row>
        <row r="474">
          <cell r="A474">
            <v>401403</v>
          </cell>
          <cell r="B474" t="str">
            <v>Buy-Back: Building M</v>
          </cell>
          <cell r="C474" t="str">
            <v>Supplies and services</v>
          </cell>
          <cell r="D474" t="str">
            <v>Supplies and services</v>
          </cell>
          <cell r="E474">
            <v>999999</v>
          </cell>
        </row>
        <row r="475">
          <cell r="A475">
            <v>401404</v>
          </cell>
          <cell r="B475" t="str">
            <v>Buy-Back: Health &amp;Sa</v>
          </cell>
          <cell r="C475" t="str">
            <v>Supplies and services</v>
          </cell>
          <cell r="D475" t="str">
            <v>Supplies and services</v>
          </cell>
          <cell r="E475">
            <v>999999</v>
          </cell>
        </row>
        <row r="476">
          <cell r="A476">
            <v>401405</v>
          </cell>
          <cell r="B476" t="str">
            <v>Buy-Back: It Music</v>
          </cell>
          <cell r="C476" t="str">
            <v>Supplies and services</v>
          </cell>
          <cell r="D476" t="str">
            <v>Supplies and services</v>
          </cell>
          <cell r="E476">
            <v>999999</v>
          </cell>
        </row>
        <row r="477">
          <cell r="A477">
            <v>401406</v>
          </cell>
          <cell r="B477" t="str">
            <v>Buy-Back: Library Se</v>
          </cell>
          <cell r="C477" t="str">
            <v>Supplies and services</v>
          </cell>
          <cell r="D477" t="str">
            <v>Supplies and services</v>
          </cell>
          <cell r="E477">
            <v>999999</v>
          </cell>
        </row>
        <row r="478">
          <cell r="A478">
            <v>401407</v>
          </cell>
          <cell r="B478" t="str">
            <v>Buy-Back: Payroll</v>
          </cell>
          <cell r="C478" t="str">
            <v>Supplies and services</v>
          </cell>
          <cell r="D478" t="str">
            <v>Supplies and services</v>
          </cell>
          <cell r="E478">
            <v>999999</v>
          </cell>
        </row>
        <row r="479">
          <cell r="A479">
            <v>401408</v>
          </cell>
          <cell r="B479" t="str">
            <v>Buy-Back: Personnel</v>
          </cell>
          <cell r="C479" t="str">
            <v>Supplies and services</v>
          </cell>
          <cell r="D479" t="str">
            <v>Supplies and services</v>
          </cell>
          <cell r="E479">
            <v>999999</v>
          </cell>
        </row>
        <row r="480">
          <cell r="A480">
            <v>401409</v>
          </cell>
          <cell r="B480" t="str">
            <v>Buy-Back: Ict Suppor</v>
          </cell>
          <cell r="C480" t="str">
            <v>Supplies and services</v>
          </cell>
          <cell r="D480" t="str">
            <v>Supplies and services</v>
          </cell>
          <cell r="E480">
            <v>999999</v>
          </cell>
        </row>
        <row r="481">
          <cell r="A481">
            <v>401410</v>
          </cell>
          <cell r="B481" t="str">
            <v>Buy-Back: Psychology</v>
          </cell>
          <cell r="C481" t="str">
            <v>Supplies and services</v>
          </cell>
          <cell r="D481" t="str">
            <v>Supplies and services</v>
          </cell>
          <cell r="E481">
            <v>999999</v>
          </cell>
        </row>
        <row r="482">
          <cell r="A482">
            <v>401411</v>
          </cell>
          <cell r="B482" t="str">
            <v>Buy-Back: School Mea</v>
          </cell>
          <cell r="C482" t="str">
            <v>Supplies and services</v>
          </cell>
          <cell r="D482" t="str">
            <v>Supplies and services</v>
          </cell>
          <cell r="E482">
            <v>999999</v>
          </cell>
        </row>
        <row r="483">
          <cell r="A483">
            <v>401412</v>
          </cell>
          <cell r="B483" t="str">
            <v>Buy-Back: Security</v>
          </cell>
          <cell r="C483" t="str">
            <v>Supplies and services</v>
          </cell>
          <cell r="D483" t="str">
            <v>Supplies and services</v>
          </cell>
          <cell r="E483">
            <v>999999</v>
          </cell>
        </row>
        <row r="484">
          <cell r="A484">
            <v>401413</v>
          </cell>
          <cell r="B484" t="str">
            <v>Buy-Back:Sen S.Actio</v>
          </cell>
          <cell r="C484" t="str">
            <v>Supplies and services</v>
          </cell>
          <cell r="D484" t="str">
            <v>Supplies and services</v>
          </cell>
          <cell r="E484">
            <v>999999</v>
          </cell>
        </row>
        <row r="485">
          <cell r="A485">
            <v>401414</v>
          </cell>
          <cell r="B485" t="str">
            <v>Buy-Back: Sims</v>
          </cell>
          <cell r="C485" t="str">
            <v>Supplies and services</v>
          </cell>
          <cell r="D485" t="str">
            <v>Supplies and services</v>
          </cell>
          <cell r="E485">
            <v>999999</v>
          </cell>
        </row>
        <row r="486">
          <cell r="A486">
            <v>401415</v>
          </cell>
          <cell r="B486" t="str">
            <v>Buy-Back:Statemented</v>
          </cell>
          <cell r="C486" t="str">
            <v>Supplies and services</v>
          </cell>
          <cell r="D486" t="str">
            <v>Supplies and services</v>
          </cell>
          <cell r="E486">
            <v>999999</v>
          </cell>
        </row>
        <row r="487">
          <cell r="A487">
            <v>401416</v>
          </cell>
          <cell r="B487" t="str">
            <v>Buy-Back:Structural</v>
          </cell>
          <cell r="C487" t="str">
            <v>Supplies and services</v>
          </cell>
          <cell r="D487" t="str">
            <v>Supplies and services</v>
          </cell>
          <cell r="E487">
            <v>999999</v>
          </cell>
        </row>
        <row r="488">
          <cell r="A488">
            <v>401417</v>
          </cell>
          <cell r="B488" t="str">
            <v>Buy-Back:Building Cl</v>
          </cell>
          <cell r="C488" t="str">
            <v>Supplies and services</v>
          </cell>
          <cell r="D488" t="str">
            <v>Supplies and services</v>
          </cell>
          <cell r="E488">
            <v>999999</v>
          </cell>
        </row>
        <row r="489">
          <cell r="A489">
            <v>401418</v>
          </cell>
          <cell r="B489" t="str">
            <v>Buy-Back:Catering</v>
          </cell>
          <cell r="C489" t="str">
            <v>Supplies and services</v>
          </cell>
          <cell r="D489" t="str">
            <v>Supplies and services</v>
          </cell>
          <cell r="E489">
            <v>999999</v>
          </cell>
        </row>
        <row r="490">
          <cell r="A490">
            <v>401419</v>
          </cell>
          <cell r="B490" t="str">
            <v>Buy-Back:Corporate P</v>
          </cell>
          <cell r="C490" t="str">
            <v>Supplies and services</v>
          </cell>
          <cell r="D490" t="str">
            <v>Supplies and services</v>
          </cell>
          <cell r="E490">
            <v>999999</v>
          </cell>
        </row>
        <row r="491">
          <cell r="A491">
            <v>401420</v>
          </cell>
          <cell r="B491" t="str">
            <v>Buy-Back:Engineering</v>
          </cell>
          <cell r="C491" t="str">
            <v>Supplies and services</v>
          </cell>
          <cell r="D491" t="str">
            <v>Supplies and services</v>
          </cell>
          <cell r="E491">
            <v>999999</v>
          </cell>
        </row>
        <row r="492">
          <cell r="A492">
            <v>401421</v>
          </cell>
          <cell r="B492" t="str">
            <v>Buy-Back:Financial S</v>
          </cell>
          <cell r="C492" t="str">
            <v>Supplies and services</v>
          </cell>
          <cell r="D492" t="str">
            <v>Supplies and services</v>
          </cell>
          <cell r="E492">
            <v>999999</v>
          </cell>
        </row>
        <row r="493">
          <cell r="A493">
            <v>401422</v>
          </cell>
          <cell r="B493" t="str">
            <v>Buy-Back:School Mang</v>
          </cell>
          <cell r="C493" t="str">
            <v>Supplies and services</v>
          </cell>
          <cell r="D493" t="str">
            <v>Supplies and services</v>
          </cell>
          <cell r="E493">
            <v>999999</v>
          </cell>
        </row>
        <row r="494">
          <cell r="A494">
            <v>401423</v>
          </cell>
          <cell r="B494" t="str">
            <v>Buy Back- Making It</v>
          </cell>
          <cell r="C494" t="str">
            <v>Supplies and services</v>
          </cell>
          <cell r="D494" t="str">
            <v>Supplies and services</v>
          </cell>
          <cell r="E494">
            <v>999999</v>
          </cell>
        </row>
        <row r="495">
          <cell r="A495">
            <v>401424</v>
          </cell>
          <cell r="B495" t="str">
            <v>Buy Back- Insurance</v>
          </cell>
          <cell r="C495" t="str">
            <v>Supplies and services</v>
          </cell>
          <cell r="D495" t="str">
            <v>Supplies and services</v>
          </cell>
          <cell r="E495">
            <v>999999</v>
          </cell>
        </row>
        <row r="496">
          <cell r="A496">
            <v>401425</v>
          </cell>
          <cell r="B496" t="str">
            <v>Buy Back-Property Ac</v>
          </cell>
          <cell r="C496" t="str">
            <v>Supplies and services</v>
          </cell>
          <cell r="D496" t="str">
            <v>Supplies and services</v>
          </cell>
          <cell r="E496">
            <v>999999</v>
          </cell>
        </row>
        <row r="497">
          <cell r="A497">
            <v>401426</v>
          </cell>
          <cell r="B497" t="str">
            <v>Buy Back-Secondry St</v>
          </cell>
          <cell r="C497" t="str">
            <v>Supplies and services</v>
          </cell>
          <cell r="D497" t="str">
            <v>Supplies and services</v>
          </cell>
          <cell r="E497">
            <v>999999</v>
          </cell>
        </row>
        <row r="498">
          <cell r="A498">
            <v>401427</v>
          </cell>
          <cell r="B498" t="str">
            <v>Buy Back-Info Servic</v>
          </cell>
          <cell r="C498" t="str">
            <v>Supplies and services</v>
          </cell>
          <cell r="D498" t="str">
            <v>Supplies and services</v>
          </cell>
          <cell r="E498">
            <v>999999</v>
          </cell>
        </row>
        <row r="499">
          <cell r="A499">
            <v>401428</v>
          </cell>
          <cell r="B499" t="str">
            <v>School SLA Charges:</v>
          </cell>
          <cell r="C499" t="str">
            <v>Supplies and services</v>
          </cell>
          <cell r="D499" t="str">
            <v>Supplies and services</v>
          </cell>
          <cell r="E499">
            <v>999999</v>
          </cell>
        </row>
        <row r="500">
          <cell r="A500">
            <v>401429</v>
          </cell>
          <cell r="B500" t="str">
            <v>School SLA Charges:</v>
          </cell>
          <cell r="C500" t="str">
            <v>Supplies and services</v>
          </cell>
          <cell r="D500" t="str">
            <v>Supplies and services</v>
          </cell>
          <cell r="E500">
            <v>999999</v>
          </cell>
        </row>
        <row r="501">
          <cell r="A501">
            <v>401600</v>
          </cell>
          <cell r="B501" t="str">
            <v>External Contract Se</v>
          </cell>
          <cell r="C501" t="str">
            <v>Supplies and services</v>
          </cell>
          <cell r="D501" t="str">
            <v>Supplies and services</v>
          </cell>
          <cell r="E501">
            <v>390000</v>
          </cell>
        </row>
        <row r="502">
          <cell r="A502">
            <v>401601</v>
          </cell>
          <cell r="B502" t="str">
            <v>Inter company charge</v>
          </cell>
          <cell r="C502" t="str">
            <v>Supplies and services</v>
          </cell>
          <cell r="D502" t="str">
            <v>Fees and Charges</v>
          </cell>
          <cell r="E502">
            <v>999999</v>
          </cell>
        </row>
        <row r="503">
          <cell r="A503">
            <v>401602</v>
          </cell>
          <cell r="B503" t="str">
            <v>Internal support chg</v>
          </cell>
          <cell r="C503" t="str">
            <v>Supplies and services</v>
          </cell>
          <cell r="D503" t="str">
            <v>Fees and Charges</v>
          </cell>
          <cell r="E503">
            <v>999999</v>
          </cell>
        </row>
        <row r="504">
          <cell r="A504">
            <v>401800</v>
          </cell>
          <cell r="B504" t="str">
            <v>Advertising-Non Staf</v>
          </cell>
          <cell r="C504" t="str">
            <v>Supplies and services</v>
          </cell>
          <cell r="D504" t="str">
            <v>Publicity and Promotion</v>
          </cell>
          <cell r="E504">
            <v>190000</v>
          </cell>
        </row>
        <row r="505">
          <cell r="A505">
            <v>401801</v>
          </cell>
          <cell r="B505" t="str">
            <v>Activities &amp; Events</v>
          </cell>
          <cell r="C505" t="str">
            <v>Supplies and services</v>
          </cell>
          <cell r="D505" t="str">
            <v>Publicity and Promotion</v>
          </cell>
          <cell r="E505">
            <v>290000</v>
          </cell>
        </row>
        <row r="506">
          <cell r="A506">
            <v>401802</v>
          </cell>
          <cell r="B506" t="str">
            <v>Promotion</v>
          </cell>
          <cell r="C506" t="str">
            <v>Supplies and services</v>
          </cell>
          <cell r="D506" t="str">
            <v>Publicity and Promotion</v>
          </cell>
          <cell r="E506">
            <v>190000</v>
          </cell>
        </row>
        <row r="507">
          <cell r="A507">
            <v>401803</v>
          </cell>
          <cell r="B507" t="str">
            <v>Publicity</v>
          </cell>
          <cell r="C507" t="str">
            <v>Supplies and services</v>
          </cell>
          <cell r="D507" t="str">
            <v>Publicity and Promotion</v>
          </cell>
          <cell r="E507">
            <v>190000</v>
          </cell>
        </row>
        <row r="508">
          <cell r="A508">
            <v>401804</v>
          </cell>
          <cell r="B508" t="str">
            <v>Corporate Design</v>
          </cell>
          <cell r="C508" t="str">
            <v>Supplies and services</v>
          </cell>
          <cell r="D508" t="str">
            <v>Publicity and Promotion</v>
          </cell>
          <cell r="E508">
            <v>190000</v>
          </cell>
        </row>
        <row r="509">
          <cell r="A509">
            <v>401805</v>
          </cell>
          <cell r="B509" t="str">
            <v>Accessability</v>
          </cell>
          <cell r="C509" t="str">
            <v>Supplies and services</v>
          </cell>
          <cell r="D509" t="str">
            <v>Publicity and Promotion</v>
          </cell>
          <cell r="E509">
            <v>190000</v>
          </cell>
        </row>
        <row r="510">
          <cell r="A510">
            <v>401806</v>
          </cell>
          <cell r="B510" t="str">
            <v>Items for resale</v>
          </cell>
          <cell r="C510" t="str">
            <v>Supplies and services</v>
          </cell>
          <cell r="D510" t="str">
            <v>Publicity and Promotion</v>
          </cell>
          <cell r="E510">
            <v>190000</v>
          </cell>
        </row>
        <row r="511">
          <cell r="A511">
            <v>401807</v>
          </cell>
          <cell r="B511" t="str">
            <v>Sponsorships</v>
          </cell>
          <cell r="C511" t="str">
            <v>Supplies and services</v>
          </cell>
          <cell r="D511" t="str">
            <v>Supplies and services</v>
          </cell>
          <cell r="E511">
            <v>999999</v>
          </cell>
        </row>
        <row r="512">
          <cell r="A512">
            <v>401808</v>
          </cell>
          <cell r="B512" t="str">
            <v>Internet &amp; Web Hosti</v>
          </cell>
          <cell r="C512" t="str">
            <v>Supplies and services</v>
          </cell>
          <cell r="D512" t="str">
            <v>Information and Communications Technology</v>
          </cell>
          <cell r="E512">
            <v>999999</v>
          </cell>
        </row>
        <row r="513">
          <cell r="A513">
            <v>402000</v>
          </cell>
          <cell r="B513" t="str">
            <v>Alarm Lines</v>
          </cell>
          <cell r="C513" t="str">
            <v>Supplies and services</v>
          </cell>
          <cell r="D513" t="str">
            <v>Information and Communications Technology</v>
          </cell>
          <cell r="E513">
            <v>270000</v>
          </cell>
        </row>
        <row r="514">
          <cell r="A514">
            <v>402001</v>
          </cell>
          <cell r="B514" t="str">
            <v>Computer Equip&amp;Softw</v>
          </cell>
          <cell r="C514" t="str">
            <v>Supplies and services</v>
          </cell>
          <cell r="D514" t="str">
            <v>Information and Communications Technology</v>
          </cell>
          <cell r="E514">
            <v>270000</v>
          </cell>
        </row>
        <row r="515">
          <cell r="A515">
            <v>402002</v>
          </cell>
          <cell r="B515" t="str">
            <v>Computer Maintenance</v>
          </cell>
          <cell r="C515" t="str">
            <v>Supplies and services</v>
          </cell>
          <cell r="D515" t="str">
            <v>Information and Communications Technology</v>
          </cell>
          <cell r="E515">
            <v>270000</v>
          </cell>
        </row>
        <row r="516">
          <cell r="A516">
            <v>402003</v>
          </cell>
          <cell r="B516" t="str">
            <v>Data Services</v>
          </cell>
          <cell r="C516" t="str">
            <v>Supplies and services</v>
          </cell>
          <cell r="D516" t="str">
            <v>Information and Communications Technology</v>
          </cell>
          <cell r="E516">
            <v>270000</v>
          </cell>
        </row>
        <row r="517">
          <cell r="A517">
            <v>402004</v>
          </cell>
          <cell r="B517" t="str">
            <v>It Consultancy-S&amp;T</v>
          </cell>
          <cell r="C517" t="str">
            <v>Supplies and services</v>
          </cell>
          <cell r="D517" t="str">
            <v>Information and Communications Technology</v>
          </cell>
          <cell r="E517">
            <v>270000</v>
          </cell>
        </row>
        <row r="518">
          <cell r="A518">
            <v>402005</v>
          </cell>
          <cell r="B518" t="str">
            <v>Magnetic Tape Proc</v>
          </cell>
          <cell r="C518" t="str">
            <v>Supplies and services</v>
          </cell>
          <cell r="D518" t="str">
            <v>Information and Communications Technology</v>
          </cell>
          <cell r="E518">
            <v>270000</v>
          </cell>
        </row>
        <row r="519">
          <cell r="A519">
            <v>402006</v>
          </cell>
          <cell r="B519" t="str">
            <v>Network Cabling</v>
          </cell>
          <cell r="C519" t="str">
            <v>Supplies and services</v>
          </cell>
          <cell r="D519" t="str">
            <v>Information and Communications Technology</v>
          </cell>
          <cell r="E519">
            <v>270000</v>
          </cell>
        </row>
        <row r="520">
          <cell r="A520">
            <v>402007</v>
          </cell>
          <cell r="B520" t="str">
            <v>Cabling Expenditure</v>
          </cell>
          <cell r="C520" t="str">
            <v>Supplies and services</v>
          </cell>
          <cell r="D520" t="str">
            <v>Information and Communications Technology</v>
          </cell>
          <cell r="E520">
            <v>270000</v>
          </cell>
        </row>
        <row r="521">
          <cell r="A521">
            <v>402008</v>
          </cell>
          <cell r="B521" t="str">
            <v>Optical Fibre</v>
          </cell>
          <cell r="C521" t="str">
            <v>Supplies and services</v>
          </cell>
          <cell r="D521" t="str">
            <v>Information and Communications Technology</v>
          </cell>
          <cell r="E521">
            <v>270000</v>
          </cell>
        </row>
        <row r="522">
          <cell r="A522">
            <v>402010</v>
          </cell>
          <cell r="B522" t="str">
            <v>Computer Licences</v>
          </cell>
          <cell r="C522" t="str">
            <v>Supplies and services</v>
          </cell>
          <cell r="D522" t="str">
            <v>Information and Communications Technology</v>
          </cell>
          <cell r="E522">
            <v>270000</v>
          </cell>
        </row>
        <row r="523">
          <cell r="A523">
            <v>402011</v>
          </cell>
          <cell r="B523" t="str">
            <v>Computer Hardware</v>
          </cell>
          <cell r="C523" t="str">
            <v>Supplies and services</v>
          </cell>
          <cell r="D523" t="str">
            <v>Supplies and services</v>
          </cell>
          <cell r="E523">
            <v>999999</v>
          </cell>
        </row>
        <row r="524">
          <cell r="A524">
            <v>402040</v>
          </cell>
          <cell r="B524" t="str">
            <v>Radio Equipment</v>
          </cell>
          <cell r="C524" t="str">
            <v>Supplies and services</v>
          </cell>
          <cell r="D524" t="str">
            <v>Information and Communications Technology</v>
          </cell>
          <cell r="E524">
            <v>270000</v>
          </cell>
        </row>
        <row r="525">
          <cell r="A525">
            <v>402041</v>
          </cell>
          <cell r="B525" t="str">
            <v>Radio Maintenance</v>
          </cell>
          <cell r="C525" t="str">
            <v>Supplies and services</v>
          </cell>
          <cell r="D525" t="str">
            <v>Information and Communications Technology</v>
          </cell>
          <cell r="E525">
            <v>270000</v>
          </cell>
        </row>
        <row r="526">
          <cell r="A526">
            <v>402060</v>
          </cell>
          <cell r="B526" t="str">
            <v>Telephone Internet</v>
          </cell>
          <cell r="C526" t="str">
            <v>Supplies and services</v>
          </cell>
          <cell r="D526" t="str">
            <v>Information and Communications Technology</v>
          </cell>
          <cell r="E526">
            <v>270000</v>
          </cell>
        </row>
        <row r="527">
          <cell r="A527">
            <v>402061</v>
          </cell>
          <cell r="B527" t="str">
            <v>Telephone  Mobile</v>
          </cell>
          <cell r="C527" t="str">
            <v>Supplies and services</v>
          </cell>
          <cell r="D527" t="str">
            <v>Information and Communications Technology</v>
          </cell>
          <cell r="E527">
            <v>270000</v>
          </cell>
        </row>
        <row r="528">
          <cell r="A528">
            <v>402062</v>
          </cell>
          <cell r="B528" t="str">
            <v>Telephone Allowances</v>
          </cell>
          <cell r="C528" t="str">
            <v>Supplies and services</v>
          </cell>
          <cell r="D528" t="str">
            <v>Information and Communications Technology</v>
          </cell>
          <cell r="E528">
            <v>270000</v>
          </cell>
        </row>
        <row r="529">
          <cell r="A529">
            <v>402064</v>
          </cell>
          <cell r="B529" t="str">
            <v>Telephones</v>
          </cell>
          <cell r="C529" t="str">
            <v>Supplies and services</v>
          </cell>
          <cell r="D529" t="str">
            <v>Information and Communications Technology</v>
          </cell>
          <cell r="E529">
            <v>270000</v>
          </cell>
        </row>
        <row r="530">
          <cell r="A530">
            <v>402065</v>
          </cell>
          <cell r="B530" t="str">
            <v>Communications- Main</v>
          </cell>
          <cell r="C530" t="str">
            <v>Supplies and services</v>
          </cell>
          <cell r="D530" t="str">
            <v>Information and Communications Technology</v>
          </cell>
          <cell r="E530">
            <v>270000</v>
          </cell>
        </row>
        <row r="531">
          <cell r="A531">
            <v>402066</v>
          </cell>
          <cell r="B531" t="str">
            <v>Other Telephone Serv</v>
          </cell>
          <cell r="C531" t="str">
            <v>Supplies and services</v>
          </cell>
          <cell r="D531" t="str">
            <v>Information and Communications Technology</v>
          </cell>
          <cell r="E531">
            <v>270000</v>
          </cell>
        </row>
        <row r="532">
          <cell r="A532">
            <v>402082</v>
          </cell>
          <cell r="B532" t="str">
            <v>Ni -Telephone Allows</v>
          </cell>
          <cell r="C532" t="str">
            <v>Supplies and services</v>
          </cell>
          <cell r="D532" t="str">
            <v>Information and Communications Technology</v>
          </cell>
          <cell r="E532">
            <v>270000</v>
          </cell>
        </row>
        <row r="533">
          <cell r="A533">
            <v>402201</v>
          </cell>
          <cell r="B533" t="str">
            <v>Conference Expenses</v>
          </cell>
          <cell r="C533" t="str">
            <v>Supplies and services</v>
          </cell>
          <cell r="D533" t="str">
            <v>Expenses and Allowances</v>
          </cell>
          <cell r="E533">
            <v>261500</v>
          </cell>
        </row>
        <row r="534">
          <cell r="A534">
            <v>402202</v>
          </cell>
          <cell r="B534" t="str">
            <v>Hospitality</v>
          </cell>
          <cell r="C534" t="str">
            <v>Supplies and services</v>
          </cell>
          <cell r="D534" t="str">
            <v>Expenses and Allowances</v>
          </cell>
          <cell r="E534">
            <v>110000</v>
          </cell>
        </row>
        <row r="535">
          <cell r="A535">
            <v>402203</v>
          </cell>
          <cell r="B535" t="str">
            <v>Subsistence</v>
          </cell>
          <cell r="C535" t="str">
            <v>Supplies and services</v>
          </cell>
          <cell r="D535" t="str">
            <v>Expenses and Allowances</v>
          </cell>
          <cell r="E535">
            <v>261600</v>
          </cell>
        </row>
        <row r="536">
          <cell r="A536">
            <v>402204</v>
          </cell>
          <cell r="B536" t="str">
            <v>Mayors Allowance</v>
          </cell>
          <cell r="C536" t="str">
            <v>Supplies and services</v>
          </cell>
          <cell r="D536" t="str">
            <v>Expenses and Allowances</v>
          </cell>
          <cell r="E536">
            <v>999999</v>
          </cell>
        </row>
        <row r="537">
          <cell r="A537">
            <v>402205</v>
          </cell>
          <cell r="B537" t="str">
            <v>Councillor Allowance</v>
          </cell>
          <cell r="C537" t="str">
            <v>Supplies and services</v>
          </cell>
          <cell r="D537" t="str">
            <v>Expenses and Allowances</v>
          </cell>
          <cell r="E537">
            <v>999999</v>
          </cell>
        </row>
        <row r="538">
          <cell r="A538">
            <v>402206</v>
          </cell>
          <cell r="B538" t="str">
            <v>Mayoral Regalia</v>
          </cell>
          <cell r="C538" t="str">
            <v>Supplies and services</v>
          </cell>
          <cell r="D538" t="str">
            <v>Expenses and Allowances</v>
          </cell>
          <cell r="E538">
            <v>999999</v>
          </cell>
        </row>
        <row r="539">
          <cell r="A539">
            <v>402207</v>
          </cell>
          <cell r="B539" t="str">
            <v>Volunteer Expenses</v>
          </cell>
          <cell r="C539" t="str">
            <v>Supplies and services</v>
          </cell>
          <cell r="D539" t="str">
            <v>Expenses and Allowances</v>
          </cell>
          <cell r="E539">
            <v>999999</v>
          </cell>
        </row>
        <row r="540">
          <cell r="A540">
            <v>402208</v>
          </cell>
          <cell r="B540" t="str">
            <v>Witnesses Expenses</v>
          </cell>
          <cell r="C540" t="str">
            <v>Supplies and services</v>
          </cell>
          <cell r="D540" t="str">
            <v>Expenses and Allowances</v>
          </cell>
          <cell r="E540">
            <v>999999</v>
          </cell>
        </row>
        <row r="541">
          <cell r="A541">
            <v>402209</v>
          </cell>
          <cell r="B541" t="str">
            <v>Attendance Allowance</v>
          </cell>
          <cell r="C541" t="str">
            <v>Supplies and services</v>
          </cell>
          <cell r="D541" t="str">
            <v>Expenses and Allowances</v>
          </cell>
          <cell r="E541">
            <v>999999</v>
          </cell>
        </row>
        <row r="542">
          <cell r="A542">
            <v>402210</v>
          </cell>
          <cell r="B542" t="str">
            <v>Childcare Expenses</v>
          </cell>
          <cell r="C542" t="str">
            <v>Supplies and services</v>
          </cell>
          <cell r="D542" t="str">
            <v>Expenses and Allowances</v>
          </cell>
          <cell r="E542">
            <v>321115</v>
          </cell>
        </row>
        <row r="543">
          <cell r="A543">
            <v>402223</v>
          </cell>
          <cell r="B543" t="str">
            <v>NI - Subsistence</v>
          </cell>
          <cell r="C543" t="str">
            <v>Supplies and services</v>
          </cell>
          <cell r="D543" t="str">
            <v>Expenses and Allowances</v>
          </cell>
          <cell r="E543">
            <v>261600</v>
          </cell>
        </row>
        <row r="544">
          <cell r="A544">
            <v>402224</v>
          </cell>
          <cell r="B544" t="str">
            <v>NI - Mayor</v>
          </cell>
          <cell r="C544" t="str">
            <v>Supplies and services</v>
          </cell>
          <cell r="D544" t="str">
            <v>Expenses and Allowances</v>
          </cell>
          <cell r="E544">
            <v>999999</v>
          </cell>
        </row>
        <row r="545">
          <cell r="A545">
            <v>402225</v>
          </cell>
          <cell r="B545" t="str">
            <v>NI - Councillors</v>
          </cell>
          <cell r="C545" t="str">
            <v>Supplies and services</v>
          </cell>
          <cell r="D545" t="str">
            <v>Expenses and Allowances</v>
          </cell>
          <cell r="E545">
            <v>999999</v>
          </cell>
        </row>
        <row r="546">
          <cell r="A546">
            <v>402244</v>
          </cell>
          <cell r="B546" t="str">
            <v>Super - Mayor</v>
          </cell>
          <cell r="C546" t="str">
            <v>Supplies and services</v>
          </cell>
          <cell r="D546" t="str">
            <v>Expenses and Allowances</v>
          </cell>
          <cell r="E546">
            <v>999999</v>
          </cell>
        </row>
        <row r="547">
          <cell r="A547">
            <v>402245</v>
          </cell>
          <cell r="B547" t="str">
            <v>Super - Councillors</v>
          </cell>
          <cell r="C547" t="str">
            <v>Supplies and services</v>
          </cell>
          <cell r="D547" t="str">
            <v>Expenses and Allowances</v>
          </cell>
          <cell r="E547">
            <v>999999</v>
          </cell>
        </row>
        <row r="548">
          <cell r="A548">
            <v>402401</v>
          </cell>
          <cell r="B548" t="str">
            <v>Subscription-Non Sta</v>
          </cell>
          <cell r="C548" t="str">
            <v>Supplies and services</v>
          </cell>
          <cell r="D548" t="str">
            <v>Fees and Charges</v>
          </cell>
          <cell r="E548">
            <v>200000</v>
          </cell>
        </row>
        <row r="549">
          <cell r="A549">
            <v>402402</v>
          </cell>
          <cell r="B549" t="str">
            <v>Carers F Carers Gran</v>
          </cell>
          <cell r="C549" t="str">
            <v>Third party payments</v>
          </cell>
          <cell r="D549" t="str">
            <v>Third party payments - Private/Voluntary Sector</v>
          </cell>
          <cell r="E549">
            <v>320000</v>
          </cell>
        </row>
        <row r="550">
          <cell r="A550">
            <v>402403</v>
          </cell>
          <cell r="B550" t="str">
            <v>Grant Payments</v>
          </cell>
          <cell r="C550" t="str">
            <v>Third party payments</v>
          </cell>
          <cell r="D550" t="str">
            <v>Third party payments - Private/Voluntary Sector</v>
          </cell>
          <cell r="E550">
            <v>320000</v>
          </cell>
        </row>
        <row r="551">
          <cell r="A551">
            <v>402404</v>
          </cell>
          <cell r="B551" t="str">
            <v>Contributions  Paid</v>
          </cell>
          <cell r="C551" t="str">
            <v>Supplies and services</v>
          </cell>
          <cell r="D551" t="str">
            <v>Fees and Charges</v>
          </cell>
          <cell r="E551">
            <v>999999</v>
          </cell>
        </row>
        <row r="552">
          <cell r="A552">
            <v>402405</v>
          </cell>
          <cell r="B552" t="str">
            <v>S.Homes Subscription</v>
          </cell>
          <cell r="C552" t="str">
            <v>Supplies and services</v>
          </cell>
          <cell r="D552" t="str">
            <v>Fees and Charges</v>
          </cell>
          <cell r="E552">
            <v>999999</v>
          </cell>
        </row>
        <row r="553">
          <cell r="A553">
            <v>402406</v>
          </cell>
          <cell r="B553" t="str">
            <v>Commission Paid</v>
          </cell>
          <cell r="C553" t="str">
            <v>Supplies and services</v>
          </cell>
          <cell r="D553" t="str">
            <v>Fees and Charges</v>
          </cell>
          <cell r="E553">
            <v>999999</v>
          </cell>
        </row>
        <row r="554">
          <cell r="A554">
            <v>402407</v>
          </cell>
          <cell r="B554" t="str">
            <v>Contribution to Shared Services</v>
          </cell>
          <cell r="C554" t="str">
            <v>Supplies and services</v>
          </cell>
          <cell r="D554" t="str">
            <v>Fees and Charges</v>
          </cell>
          <cell r="E554">
            <v>999999</v>
          </cell>
        </row>
        <row r="555">
          <cell r="A555">
            <v>402601</v>
          </cell>
          <cell r="B555" t="str">
            <v>I/F (EPIX) ERRORS</v>
          </cell>
          <cell r="C555" t="str">
            <v>Supplies and services</v>
          </cell>
          <cell r="D555" t="str">
            <v>Supplies and services</v>
          </cell>
          <cell r="E555">
            <v>999999</v>
          </cell>
        </row>
        <row r="556">
          <cell r="A556">
            <v>402605</v>
          </cell>
          <cell r="B556" t="str">
            <v>Purchasing Card sus</v>
          </cell>
          <cell r="C556" t="str">
            <v>Supplies and services</v>
          </cell>
          <cell r="D556" t="str">
            <v>Supplies and services</v>
          </cell>
          <cell r="E556">
            <v>999999</v>
          </cell>
        </row>
        <row r="557">
          <cell r="A557">
            <v>402610</v>
          </cell>
          <cell r="B557" t="str">
            <v>P-Unhypothecated Bud</v>
          </cell>
          <cell r="C557" t="str">
            <v>Supplies and services</v>
          </cell>
          <cell r="D557" t="str">
            <v>Supplies and services</v>
          </cell>
          <cell r="E557">
            <v>999999</v>
          </cell>
        </row>
        <row r="558">
          <cell r="A558">
            <v>500301</v>
          </cell>
          <cell r="B558" t="str">
            <v>Ass'N Of Town&amp;P Coun</v>
          </cell>
          <cell r="C558" t="str">
            <v>Third party payments</v>
          </cell>
          <cell r="D558" t="str">
            <v>Third party payments - Public Sector</v>
          </cell>
          <cell r="E558">
            <v>202100</v>
          </cell>
        </row>
        <row r="559">
          <cell r="A559">
            <v>500302</v>
          </cell>
          <cell r="B559" t="str">
            <v>Ed-Inter Auth Recoup</v>
          </cell>
          <cell r="C559" t="str">
            <v>Third party payments</v>
          </cell>
          <cell r="D559" t="str">
            <v>Third party payments - Public Sector</v>
          </cell>
          <cell r="E559">
            <v>170000</v>
          </cell>
        </row>
        <row r="560">
          <cell r="A560">
            <v>500303</v>
          </cell>
          <cell r="B560" t="str">
            <v>Payments-Other La'S</v>
          </cell>
          <cell r="C560" t="str">
            <v>Third party payments</v>
          </cell>
          <cell r="D560" t="str">
            <v>Third party payments - Public Sector</v>
          </cell>
          <cell r="E560">
            <v>999999</v>
          </cell>
        </row>
        <row r="561">
          <cell r="A561">
            <v>500304</v>
          </cell>
          <cell r="B561" t="str">
            <v>Payments-Other Lea'S</v>
          </cell>
          <cell r="C561" t="str">
            <v>Third party payments</v>
          </cell>
          <cell r="D561" t="str">
            <v>Third party payments - Public Sector</v>
          </cell>
          <cell r="E561">
            <v>170000</v>
          </cell>
        </row>
        <row r="562">
          <cell r="A562">
            <v>500305</v>
          </cell>
          <cell r="B562" t="str">
            <v>Agma  Subscriptions</v>
          </cell>
          <cell r="C562" t="str">
            <v>Third party payments</v>
          </cell>
          <cell r="D562" t="str">
            <v>Third party payments - Public Sector</v>
          </cell>
          <cell r="E562">
            <v>202100</v>
          </cell>
        </row>
        <row r="563">
          <cell r="A563">
            <v>500400</v>
          </cell>
          <cell r="B563" t="str">
            <v>Mortuary Fees</v>
          </cell>
          <cell r="C563" t="str">
            <v>Third party payments</v>
          </cell>
          <cell r="D563" t="str">
            <v>Third party payments - Public Sector</v>
          </cell>
          <cell r="E563">
            <v>120000</v>
          </cell>
        </row>
        <row r="564">
          <cell r="A564">
            <v>500401</v>
          </cell>
          <cell r="B564" t="str">
            <v>Payments-Primary Ct</v>
          </cell>
          <cell r="C564" t="str">
            <v>Third party payments</v>
          </cell>
          <cell r="D564" t="str">
            <v>Third party payments - Public Sector</v>
          </cell>
          <cell r="E564">
            <v>310000</v>
          </cell>
        </row>
        <row r="565">
          <cell r="A565">
            <v>500402</v>
          </cell>
          <cell r="B565" t="str">
            <v>Payments-Health Prov</v>
          </cell>
          <cell r="C565" t="str">
            <v>Third party payments</v>
          </cell>
          <cell r="D565" t="str">
            <v>Third party payments - Public Sector</v>
          </cell>
          <cell r="E565">
            <v>310000</v>
          </cell>
        </row>
        <row r="566">
          <cell r="A566">
            <v>500530</v>
          </cell>
          <cell r="B566" t="str">
            <v>Payment-Voluntary Or</v>
          </cell>
          <cell r="C566" t="str">
            <v>Third party payments</v>
          </cell>
          <cell r="D566" t="str">
            <v>Third party payments - Private/Voluntary Sector</v>
          </cell>
          <cell r="E566">
            <v>320000</v>
          </cell>
        </row>
        <row r="567">
          <cell r="A567">
            <v>500531</v>
          </cell>
          <cell r="B567" t="str">
            <v>Tennants Federation</v>
          </cell>
          <cell r="C567" t="str">
            <v>Third party payments</v>
          </cell>
          <cell r="D567" t="str">
            <v>Third party payments - Private/Voluntary Sector</v>
          </cell>
          <cell r="E567">
            <v>250000</v>
          </cell>
        </row>
        <row r="568">
          <cell r="A568">
            <v>500532</v>
          </cell>
          <cell r="B568" t="str">
            <v>Tennants &amp; Res Assoc</v>
          </cell>
          <cell r="C568" t="str">
            <v>Third party payments</v>
          </cell>
          <cell r="D568" t="str">
            <v>Third party payments - Private/Voluntary Sector</v>
          </cell>
          <cell r="E568">
            <v>250000</v>
          </cell>
        </row>
        <row r="569">
          <cell r="A569">
            <v>500604</v>
          </cell>
          <cell r="B569" t="str">
            <v>Private Sector Sp</v>
          </cell>
          <cell r="C569" t="str">
            <v>Third party payments</v>
          </cell>
          <cell r="D569" t="str">
            <v>Third party payments - Private/Voluntary Sector</v>
          </cell>
          <cell r="E569">
            <v>320000</v>
          </cell>
        </row>
        <row r="570">
          <cell r="A570">
            <v>500605</v>
          </cell>
          <cell r="B570" t="str">
            <v>Payments-Private Ctr</v>
          </cell>
          <cell r="C570" t="str">
            <v>Third party payments</v>
          </cell>
          <cell r="D570" t="str">
            <v>Third party payments - Private/Voluntary Sector</v>
          </cell>
          <cell r="E570">
            <v>320000</v>
          </cell>
        </row>
        <row r="571">
          <cell r="A571">
            <v>500610</v>
          </cell>
          <cell r="B571" t="str">
            <v>BLOCK SUBSIDY</v>
          </cell>
          <cell r="C571" t="str">
            <v>Third party payments</v>
          </cell>
          <cell r="D571" t="str">
            <v>Third party payments - Private/Voluntary Sector</v>
          </cell>
          <cell r="E571">
            <v>320000</v>
          </cell>
        </row>
        <row r="572">
          <cell r="A572">
            <v>500611</v>
          </cell>
          <cell r="B572" t="str">
            <v>BLOCK GROSS NON CH</v>
          </cell>
          <cell r="C572" t="str">
            <v>Third party payments</v>
          </cell>
          <cell r="D572" t="str">
            <v>Third party payments - Private/Voluntary Sector</v>
          </cell>
          <cell r="E572">
            <v>320000</v>
          </cell>
        </row>
        <row r="573">
          <cell r="A573">
            <v>500612</v>
          </cell>
          <cell r="B573" t="str">
            <v>BLOCK GROSS CHARGE</v>
          </cell>
          <cell r="C573" t="str">
            <v>Third party payments</v>
          </cell>
          <cell r="D573" t="str">
            <v>Third party payments - Private/Voluntary Sector</v>
          </cell>
          <cell r="E573">
            <v>320000</v>
          </cell>
        </row>
        <row r="574">
          <cell r="A574">
            <v>500620</v>
          </cell>
          <cell r="B574" t="str">
            <v>Subcon-Access Contro</v>
          </cell>
          <cell r="C574" t="str">
            <v>MISCLASSIFIED? CHECK BEFORE PUBLICATION</v>
          </cell>
          <cell r="D574" t="str">
            <v>MISCLASSIFIED? CHECK BEFORE PUBLICATION</v>
          </cell>
          <cell r="E574">
            <v>999999</v>
          </cell>
        </row>
        <row r="575">
          <cell r="A575">
            <v>500621</v>
          </cell>
          <cell r="B575" t="str">
            <v>Subcon-Buildng Clean</v>
          </cell>
          <cell r="C575" t="str">
            <v>MISCLASSIFIED? CHECK BEFORE PUBLICATION</v>
          </cell>
          <cell r="D575" t="str">
            <v>MISCLASSIFIED? CHECK BEFORE PUBLICATION</v>
          </cell>
          <cell r="E575">
            <v>999999</v>
          </cell>
        </row>
        <row r="576">
          <cell r="A576">
            <v>500623</v>
          </cell>
          <cell r="B576" t="str">
            <v>Subcon-Buildng Svs</v>
          </cell>
          <cell r="C576" t="str">
            <v>MISCLASSIFIED? CHECK BEFORE PUBLICATION</v>
          </cell>
          <cell r="D576" t="str">
            <v>MISCLASSIFIED? CHECK BEFORE PUBLICATION</v>
          </cell>
          <cell r="E576">
            <v>999999</v>
          </cell>
        </row>
        <row r="577">
          <cell r="A577">
            <v>500624</v>
          </cell>
          <cell r="B577" t="str">
            <v>Subcon-Catering Svs</v>
          </cell>
          <cell r="C577" t="str">
            <v>MISCLASSIFIED? CHECK BEFORE PUBLICATION</v>
          </cell>
          <cell r="D577" t="str">
            <v>MISCLASSIFIED? CHECK BEFORE PUBLICATION</v>
          </cell>
          <cell r="E577">
            <v>999999</v>
          </cell>
        </row>
        <row r="578">
          <cell r="A578">
            <v>500625</v>
          </cell>
          <cell r="B578" t="str">
            <v>Subcon-Fire Alarm</v>
          </cell>
          <cell r="C578" t="str">
            <v>MISCLASSIFIED? CHECK BEFORE PUBLICATION</v>
          </cell>
          <cell r="D578" t="str">
            <v>MISCLASSIFIED? CHECK BEFORE PUBLICATION</v>
          </cell>
          <cell r="E578">
            <v>999999</v>
          </cell>
        </row>
        <row r="579">
          <cell r="A579">
            <v>500626</v>
          </cell>
          <cell r="B579" t="str">
            <v>Subcon-Landscaping</v>
          </cell>
          <cell r="C579" t="str">
            <v>MISCLASSIFIED? CHECK BEFORE PUBLICATION</v>
          </cell>
          <cell r="D579" t="str">
            <v>MISCLASSIFIED? CHECK BEFORE PUBLICATION</v>
          </cell>
          <cell r="E579">
            <v>999999</v>
          </cell>
        </row>
        <row r="580">
          <cell r="A580">
            <v>500627</v>
          </cell>
          <cell r="B580" t="str">
            <v>Subcon-Laundry Svs</v>
          </cell>
          <cell r="C580" t="str">
            <v>MISCLASSIFIED? CHECK BEFORE PUBLICATION</v>
          </cell>
          <cell r="D580" t="str">
            <v>MISCLASSIFIED? CHECK BEFORE PUBLICATION</v>
          </cell>
          <cell r="E580">
            <v>999999</v>
          </cell>
        </row>
        <row r="581">
          <cell r="A581">
            <v>500628</v>
          </cell>
          <cell r="B581" t="str">
            <v>Subcon-Locksmiths</v>
          </cell>
          <cell r="C581" t="str">
            <v>MISCLASSIFIED? CHECK BEFORE PUBLICATION</v>
          </cell>
          <cell r="D581" t="str">
            <v>MISCLASSIFIED? CHECK BEFORE PUBLICATION</v>
          </cell>
          <cell r="E581">
            <v>999999</v>
          </cell>
        </row>
        <row r="582">
          <cell r="A582">
            <v>500629</v>
          </cell>
          <cell r="B582" t="str">
            <v>Subcon-Physical Sec</v>
          </cell>
          <cell r="C582" t="str">
            <v>MISCLASSIFIED? CHECK BEFORE PUBLICATION</v>
          </cell>
          <cell r="D582" t="str">
            <v>MISCLASSIFIED? CHECK BEFORE PUBLICATION</v>
          </cell>
          <cell r="E582">
            <v>999999</v>
          </cell>
        </row>
        <row r="583">
          <cell r="A583">
            <v>500630</v>
          </cell>
          <cell r="B583" t="str">
            <v>Subcon-Prop Main</v>
          </cell>
          <cell r="C583" t="str">
            <v>MISCLASSIFIED? CHECK BEFORE PUBLICATION</v>
          </cell>
          <cell r="D583" t="str">
            <v>MISCLASSIFIED? CHECK BEFORE PUBLICATION</v>
          </cell>
          <cell r="E583">
            <v>999999</v>
          </cell>
        </row>
        <row r="584">
          <cell r="A584">
            <v>500631</v>
          </cell>
          <cell r="B584" t="str">
            <v>Subcon-Pub Area CCTV</v>
          </cell>
          <cell r="C584" t="str">
            <v>MISCLASSIFIED? CHECK BEFORE PUBLICATION</v>
          </cell>
          <cell r="D584" t="str">
            <v>MISCLASSIFIED? CHECK BEFORE PUBLICATION</v>
          </cell>
          <cell r="E584">
            <v>999999</v>
          </cell>
        </row>
        <row r="585">
          <cell r="A585">
            <v>500632</v>
          </cell>
          <cell r="B585" t="str">
            <v>Subcon-Static Guardi</v>
          </cell>
          <cell r="C585" t="str">
            <v>MISCLASSIFIED? CHECK BEFORE PUBLICATION</v>
          </cell>
          <cell r="D585" t="str">
            <v>MISCLASSIFIED? CHECK BEFORE PUBLICATION</v>
          </cell>
          <cell r="E585">
            <v>999999</v>
          </cell>
        </row>
        <row r="586">
          <cell r="A586">
            <v>500633</v>
          </cell>
          <cell r="B586" t="str">
            <v>Subcon-Surfacing</v>
          </cell>
          <cell r="C586" t="str">
            <v>MISCLASSIFIED? CHECK BEFORE PUBLICATION</v>
          </cell>
          <cell r="D586" t="str">
            <v>MISCLASSIFIED? CHECK BEFORE PUBLICATION</v>
          </cell>
          <cell r="E586">
            <v>999999</v>
          </cell>
        </row>
        <row r="587">
          <cell r="A587">
            <v>500634</v>
          </cell>
          <cell r="B587" t="str">
            <v>Subcon-Utility Comp</v>
          </cell>
          <cell r="C587" t="str">
            <v>MISCLASSIFIED? CHECK BEFORE PUBLICATION</v>
          </cell>
          <cell r="D587" t="str">
            <v>MISCLASSIFIED? CHECK BEFORE PUBLICATION</v>
          </cell>
          <cell r="E587">
            <v>999999</v>
          </cell>
        </row>
        <row r="588">
          <cell r="A588">
            <v>500635</v>
          </cell>
          <cell r="B588" t="str">
            <v>Subcon-Window Clean</v>
          </cell>
          <cell r="C588" t="str">
            <v>MISCLASSIFIED? CHECK BEFORE PUBLICATION</v>
          </cell>
          <cell r="D588" t="str">
            <v>MISCLASSIFIED? CHECK BEFORE PUBLICATION</v>
          </cell>
          <cell r="E588">
            <v>999999</v>
          </cell>
        </row>
        <row r="589">
          <cell r="A589">
            <v>500801</v>
          </cell>
          <cell r="B589" t="str">
            <v>Cont To NW Museum&amp;Ar</v>
          </cell>
          <cell r="C589" t="str">
            <v>Third party payments</v>
          </cell>
          <cell r="D589" t="str">
            <v>Third party payments - Private/Voluntary Sector</v>
          </cell>
          <cell r="E589">
            <v>291100</v>
          </cell>
        </row>
        <row r="590">
          <cell r="A590">
            <v>500802</v>
          </cell>
          <cell r="B590" t="str">
            <v>Cont To Consortium</v>
          </cell>
          <cell r="C590" t="str">
            <v>Third party payments</v>
          </cell>
          <cell r="D590" t="str">
            <v>Third party payments - Private/Voluntary Sector</v>
          </cell>
          <cell r="E590">
            <v>152000</v>
          </cell>
        </row>
        <row r="591">
          <cell r="A591">
            <v>500803</v>
          </cell>
          <cell r="B591" t="str">
            <v>Environmental Agency</v>
          </cell>
          <cell r="C591" t="str">
            <v>Third party payments</v>
          </cell>
          <cell r="D591" t="str">
            <v>Third party payments - Levies</v>
          </cell>
          <cell r="E591">
            <v>180000</v>
          </cell>
        </row>
        <row r="592">
          <cell r="A592">
            <v>500804</v>
          </cell>
          <cell r="B592" t="str">
            <v>Criminal Records Bur</v>
          </cell>
          <cell r="C592" t="str">
            <v>Third party payments</v>
          </cell>
          <cell r="D592" t="str">
            <v>Third party payments - Public Sector</v>
          </cell>
          <cell r="E592">
            <v>261300</v>
          </cell>
        </row>
        <row r="593">
          <cell r="A593">
            <v>500805</v>
          </cell>
          <cell r="B593" t="str">
            <v>Royal British Legion</v>
          </cell>
          <cell r="C593" t="str">
            <v>Third party payments</v>
          </cell>
          <cell r="D593" t="str">
            <v>Third party payments - Private/Voluntary Sector</v>
          </cell>
          <cell r="E593">
            <v>320000</v>
          </cell>
        </row>
        <row r="594">
          <cell r="A594">
            <v>500806</v>
          </cell>
          <cell r="B594" t="str">
            <v>Mortuary Facilities</v>
          </cell>
          <cell r="C594" t="str">
            <v>Third party payments</v>
          </cell>
          <cell r="D594" t="str">
            <v>Third party payments - Public Sector</v>
          </cell>
          <cell r="E594">
            <v>120000</v>
          </cell>
        </row>
        <row r="595">
          <cell r="A595">
            <v>500808</v>
          </cell>
          <cell r="B595" t="str">
            <v>GMWDA Levy</v>
          </cell>
          <cell r="C595" t="str">
            <v>Third party payments</v>
          </cell>
          <cell r="D595" t="str">
            <v>Third party payments - Levies</v>
          </cell>
          <cell r="E595">
            <v>182015</v>
          </cell>
        </row>
        <row r="596">
          <cell r="A596">
            <v>500809</v>
          </cell>
          <cell r="B596" t="str">
            <v>GMPTA Levy</v>
          </cell>
          <cell r="C596" t="str">
            <v>Third party payments</v>
          </cell>
          <cell r="D596" t="str">
            <v>Third party payments - Levies</v>
          </cell>
          <cell r="E596">
            <v>361300</v>
          </cell>
        </row>
        <row r="597">
          <cell r="A597">
            <v>500810</v>
          </cell>
          <cell r="B597" t="str">
            <v>Management Fee</v>
          </cell>
          <cell r="C597" t="str">
            <v>Third party payments</v>
          </cell>
          <cell r="D597" t="str">
            <v>Third party payments - Private/Voluntary Sector</v>
          </cell>
          <cell r="E597">
            <v>190000</v>
          </cell>
        </row>
        <row r="598">
          <cell r="A598">
            <v>500811</v>
          </cell>
          <cell r="B598" t="str">
            <v>GMP-Crime Prevention</v>
          </cell>
          <cell r="C598" t="str">
            <v>Third party payments</v>
          </cell>
          <cell r="D598" t="str">
            <v>Third party payments - Public Sector</v>
          </cell>
          <cell r="E598">
            <v>999999</v>
          </cell>
        </row>
        <row r="599">
          <cell r="A599">
            <v>530101</v>
          </cell>
          <cell r="B599" t="str">
            <v>Discretionary Awards</v>
          </cell>
          <cell r="C599" t="str">
            <v>Transfer payments</v>
          </cell>
          <cell r="D599" t="str">
            <v>Welfare Payments</v>
          </cell>
          <cell r="E599">
            <v>170000</v>
          </cell>
        </row>
        <row r="600">
          <cell r="A600">
            <v>530102</v>
          </cell>
          <cell r="B600" t="str">
            <v>Free Sch Travel Pass</v>
          </cell>
          <cell r="C600" t="str">
            <v>Transfer payments</v>
          </cell>
          <cell r="D600" t="str">
            <v>Welfare Payments</v>
          </cell>
          <cell r="E600">
            <v>170000</v>
          </cell>
        </row>
        <row r="601">
          <cell r="A601">
            <v>530103</v>
          </cell>
          <cell r="B601" t="str">
            <v>Mandatory Awards</v>
          </cell>
          <cell r="C601" t="str">
            <v>Transfer payments</v>
          </cell>
          <cell r="D601" t="str">
            <v>Welfare Payments</v>
          </cell>
          <cell r="E601">
            <v>170000</v>
          </cell>
        </row>
        <row r="602">
          <cell r="A602">
            <v>530104</v>
          </cell>
          <cell r="B602" t="str">
            <v>School Cloth'G Grant</v>
          </cell>
          <cell r="C602" t="str">
            <v>Transfer payments</v>
          </cell>
          <cell r="D602" t="str">
            <v>Welfare Payments</v>
          </cell>
          <cell r="E602">
            <v>320000</v>
          </cell>
        </row>
        <row r="603">
          <cell r="A603">
            <v>530110</v>
          </cell>
          <cell r="B603" t="str">
            <v>School Contingency</v>
          </cell>
          <cell r="C603" t="str">
            <v>Transfer payments</v>
          </cell>
          <cell r="D603" t="str">
            <v>Transfer payments</v>
          </cell>
          <cell r="E603">
            <v>999999</v>
          </cell>
        </row>
        <row r="604">
          <cell r="A604">
            <v>530111</v>
          </cell>
          <cell r="B604" t="str">
            <v>School Fwd Commit'mt</v>
          </cell>
          <cell r="C604" t="str">
            <v>Transfer payments</v>
          </cell>
          <cell r="D604" t="str">
            <v>Transfer payments</v>
          </cell>
          <cell r="E604">
            <v>999999</v>
          </cell>
        </row>
        <row r="605">
          <cell r="A605">
            <v>530112</v>
          </cell>
          <cell r="B605" t="str">
            <v>School Deficit</v>
          </cell>
          <cell r="C605" t="str">
            <v>Transfer payments</v>
          </cell>
          <cell r="D605" t="str">
            <v>Transfer payments</v>
          </cell>
          <cell r="E605">
            <v>999999</v>
          </cell>
        </row>
        <row r="606">
          <cell r="A606">
            <v>530200</v>
          </cell>
          <cell r="B606" t="str">
            <v>Dip-Creative&amp;digital</v>
          </cell>
          <cell r="C606" t="str">
            <v>Transfer payments</v>
          </cell>
          <cell r="D606" t="str">
            <v>Transfer payments</v>
          </cell>
          <cell r="E606">
            <v>999999</v>
          </cell>
        </row>
        <row r="607">
          <cell r="A607">
            <v>530201</v>
          </cell>
          <cell r="B607" t="str">
            <v>Dip-Engineering</v>
          </cell>
          <cell r="C607" t="str">
            <v>Transfer payments</v>
          </cell>
          <cell r="D607" t="str">
            <v>Transfer payments</v>
          </cell>
          <cell r="E607">
            <v>999999</v>
          </cell>
        </row>
        <row r="608">
          <cell r="A608">
            <v>530300</v>
          </cell>
          <cell r="B608" t="str">
            <v>Adoption/allow&amp;fees</v>
          </cell>
          <cell r="C608" t="str">
            <v>Transfer payments</v>
          </cell>
          <cell r="D608" t="str">
            <v>Care Payments</v>
          </cell>
          <cell r="E608">
            <v>320000</v>
          </cell>
        </row>
        <row r="609">
          <cell r="A609">
            <v>530301</v>
          </cell>
          <cell r="B609" t="str">
            <v>16+ Lodgings Payment</v>
          </cell>
          <cell r="C609" t="str">
            <v>Transfer payments</v>
          </cell>
          <cell r="D609" t="str">
            <v>Care Payments</v>
          </cell>
          <cell r="E609">
            <v>320000</v>
          </cell>
        </row>
        <row r="610">
          <cell r="A610">
            <v>530302</v>
          </cell>
          <cell r="B610" t="str">
            <v>Asylum Seekers</v>
          </cell>
          <cell r="C610" t="str">
            <v>Transfer payments</v>
          </cell>
          <cell r="D610" t="str">
            <v>Care Payments</v>
          </cell>
          <cell r="E610">
            <v>320000</v>
          </cell>
        </row>
        <row r="611">
          <cell r="A611">
            <v>530303</v>
          </cell>
          <cell r="B611" t="str">
            <v>Managed Accounts</v>
          </cell>
          <cell r="C611" t="str">
            <v>Transfer payments</v>
          </cell>
          <cell r="D611" t="str">
            <v>Care Payments</v>
          </cell>
          <cell r="E611">
            <v>320000</v>
          </cell>
        </row>
        <row r="612">
          <cell r="A612">
            <v>530304</v>
          </cell>
          <cell r="B612" t="str">
            <v>Individual Budgets</v>
          </cell>
          <cell r="C612" t="str">
            <v>Transfer payments</v>
          </cell>
          <cell r="D612" t="str">
            <v>Care Payments</v>
          </cell>
          <cell r="E612">
            <v>320000</v>
          </cell>
        </row>
        <row r="613">
          <cell r="A613">
            <v>530305</v>
          </cell>
          <cell r="B613" t="str">
            <v>Direct Payments</v>
          </cell>
          <cell r="C613" t="str">
            <v>Transfer payments</v>
          </cell>
          <cell r="D613" t="str">
            <v>Care Payments</v>
          </cell>
          <cell r="E613">
            <v>320000</v>
          </cell>
        </row>
        <row r="614">
          <cell r="A614">
            <v>530306</v>
          </cell>
          <cell r="B614" t="str">
            <v>Adoption/inter-agenc</v>
          </cell>
          <cell r="C614" t="str">
            <v>Transfer payments</v>
          </cell>
          <cell r="D614" t="str">
            <v>Care Payments</v>
          </cell>
          <cell r="E614">
            <v>320000</v>
          </cell>
        </row>
        <row r="615">
          <cell r="A615">
            <v>530307</v>
          </cell>
          <cell r="B615" t="str">
            <v>Special Guards allow</v>
          </cell>
          <cell r="C615" t="str">
            <v>Transfer payments</v>
          </cell>
          <cell r="D615" t="str">
            <v>Care Payments</v>
          </cell>
          <cell r="E615">
            <v>320000</v>
          </cell>
        </row>
        <row r="616">
          <cell r="A616">
            <v>530311</v>
          </cell>
          <cell r="B616" t="str">
            <v>Leaving Care Payment</v>
          </cell>
          <cell r="C616" t="str">
            <v>Transfer payments</v>
          </cell>
          <cell r="D616" t="str">
            <v>Care Payments</v>
          </cell>
          <cell r="E616">
            <v>320000</v>
          </cell>
        </row>
        <row r="617">
          <cell r="A617">
            <v>530312</v>
          </cell>
          <cell r="B617" t="str">
            <v>Mobility Allowance</v>
          </cell>
          <cell r="C617" t="str">
            <v>Transfer payments</v>
          </cell>
          <cell r="D617" t="str">
            <v>Care Payments</v>
          </cell>
          <cell r="E617">
            <v>320000</v>
          </cell>
        </row>
        <row r="618">
          <cell r="A618">
            <v>530313</v>
          </cell>
          <cell r="B618" t="str">
            <v>Personal Needs Budge</v>
          </cell>
          <cell r="C618" t="str">
            <v>Transfer payments</v>
          </cell>
          <cell r="D618" t="str">
            <v>Care Payments</v>
          </cell>
          <cell r="E618">
            <v>320000</v>
          </cell>
        </row>
        <row r="619">
          <cell r="A619">
            <v>530315</v>
          </cell>
          <cell r="B619" t="str">
            <v>Setting Up Home Gran</v>
          </cell>
          <cell r="C619" t="str">
            <v>Transfer payments</v>
          </cell>
          <cell r="D619" t="str">
            <v>Care Payments</v>
          </cell>
          <cell r="E619">
            <v>320000</v>
          </cell>
        </row>
        <row r="620">
          <cell r="A620">
            <v>530320</v>
          </cell>
          <cell r="B620" t="str">
            <v>Residence Orders</v>
          </cell>
          <cell r="C620" t="str">
            <v>Transfer payments</v>
          </cell>
          <cell r="D620" t="str">
            <v>Care Payments</v>
          </cell>
          <cell r="E620">
            <v>320000</v>
          </cell>
        </row>
        <row r="621">
          <cell r="A621">
            <v>530321</v>
          </cell>
          <cell r="B621" t="str">
            <v>Guardianship</v>
          </cell>
          <cell r="C621" t="str">
            <v>Transfer payments</v>
          </cell>
          <cell r="D621" t="str">
            <v>Care Payments</v>
          </cell>
          <cell r="E621">
            <v>320000</v>
          </cell>
        </row>
        <row r="622">
          <cell r="A622">
            <v>530322</v>
          </cell>
          <cell r="B622" t="str">
            <v>Foster Care External</v>
          </cell>
          <cell r="C622" t="str">
            <v>Transfer payments</v>
          </cell>
          <cell r="D622" t="str">
            <v>Care Payments</v>
          </cell>
          <cell r="E622">
            <v>320000</v>
          </cell>
        </row>
        <row r="623">
          <cell r="A623">
            <v>530323</v>
          </cell>
          <cell r="B623" t="str">
            <v>Foster Care In House</v>
          </cell>
          <cell r="C623" t="str">
            <v>Transfer payments</v>
          </cell>
          <cell r="D623" t="str">
            <v>Care Payments</v>
          </cell>
          <cell r="E623">
            <v>320000</v>
          </cell>
        </row>
        <row r="624">
          <cell r="A624">
            <v>530324</v>
          </cell>
          <cell r="B624" t="str">
            <v>Residential Care Int</v>
          </cell>
          <cell r="C624" t="str">
            <v>Transfer payments</v>
          </cell>
          <cell r="D624" t="str">
            <v>Care Payments</v>
          </cell>
          <cell r="E624">
            <v>320000</v>
          </cell>
        </row>
        <row r="625">
          <cell r="A625">
            <v>530325</v>
          </cell>
          <cell r="B625" t="str">
            <v>Residential Care Ext</v>
          </cell>
          <cell r="C625" t="str">
            <v>Transfer payments</v>
          </cell>
          <cell r="D625" t="str">
            <v>Care Payments</v>
          </cell>
          <cell r="E625">
            <v>320000</v>
          </cell>
        </row>
        <row r="626">
          <cell r="A626">
            <v>530326</v>
          </cell>
          <cell r="B626" t="str">
            <v>Funded Nursing Care</v>
          </cell>
          <cell r="C626" t="str">
            <v>Transfer payments</v>
          </cell>
          <cell r="D626" t="str">
            <v>Care Payments</v>
          </cell>
          <cell r="E626">
            <v>320000</v>
          </cell>
        </row>
        <row r="627">
          <cell r="A627">
            <v>530327</v>
          </cell>
          <cell r="B627" t="str">
            <v>Nursing Care</v>
          </cell>
          <cell r="C627" t="str">
            <v>Transfer payments</v>
          </cell>
          <cell r="D627" t="str">
            <v>Care Payments</v>
          </cell>
          <cell r="E627">
            <v>320000</v>
          </cell>
        </row>
        <row r="628">
          <cell r="A628">
            <v>530328</v>
          </cell>
          <cell r="B628" t="str">
            <v>Assesment Care Man'T</v>
          </cell>
          <cell r="C628" t="str">
            <v>Transfer payments</v>
          </cell>
          <cell r="D628" t="str">
            <v>Care Payments</v>
          </cell>
          <cell r="E628">
            <v>320000</v>
          </cell>
        </row>
        <row r="629">
          <cell r="A629">
            <v>530329</v>
          </cell>
          <cell r="B629" t="str">
            <v>Breaks For Carers</v>
          </cell>
          <cell r="C629" t="str">
            <v>Transfer payments</v>
          </cell>
          <cell r="D629" t="str">
            <v>Care Payments</v>
          </cell>
          <cell r="E629">
            <v>320000</v>
          </cell>
        </row>
        <row r="630">
          <cell r="A630">
            <v>530330</v>
          </cell>
          <cell r="B630" t="str">
            <v>Supported Accom</v>
          </cell>
          <cell r="C630" t="str">
            <v>Transfer payments</v>
          </cell>
          <cell r="D630" t="str">
            <v>Care Payments</v>
          </cell>
          <cell r="E630">
            <v>320000</v>
          </cell>
        </row>
        <row r="631">
          <cell r="A631">
            <v>530331</v>
          </cell>
          <cell r="B631" t="str">
            <v>Home Care In House</v>
          </cell>
          <cell r="C631" t="str">
            <v>Transfer payments</v>
          </cell>
          <cell r="D631" t="str">
            <v>Care Payments</v>
          </cell>
          <cell r="E631">
            <v>320000</v>
          </cell>
        </row>
        <row r="632">
          <cell r="A632">
            <v>530332</v>
          </cell>
          <cell r="B632" t="str">
            <v>Home Care External</v>
          </cell>
          <cell r="C632" t="str">
            <v>Transfer payments</v>
          </cell>
          <cell r="D632" t="str">
            <v>Care Payments</v>
          </cell>
          <cell r="E632">
            <v>320000</v>
          </cell>
        </row>
        <row r="633">
          <cell r="A633">
            <v>530333</v>
          </cell>
          <cell r="B633" t="str">
            <v>Day Care</v>
          </cell>
          <cell r="C633" t="str">
            <v>Transfer payments</v>
          </cell>
          <cell r="D633" t="str">
            <v>Care Payments</v>
          </cell>
          <cell r="E633">
            <v>320000</v>
          </cell>
        </row>
        <row r="634">
          <cell r="A634">
            <v>530334</v>
          </cell>
          <cell r="B634" t="str">
            <v>Respite Care</v>
          </cell>
          <cell r="C634" t="str">
            <v>Transfer payments</v>
          </cell>
          <cell r="D634" t="str">
            <v>Care Payments</v>
          </cell>
          <cell r="E634">
            <v>320000</v>
          </cell>
        </row>
        <row r="635">
          <cell r="A635">
            <v>530335</v>
          </cell>
          <cell r="B635" t="str">
            <v>Disabily Respite</v>
          </cell>
          <cell r="C635" t="str">
            <v>Transfer payments</v>
          </cell>
          <cell r="D635" t="str">
            <v>Care Payments</v>
          </cell>
          <cell r="E635">
            <v>320000</v>
          </cell>
        </row>
        <row r="636">
          <cell r="A636">
            <v>530336</v>
          </cell>
          <cell r="B636" t="str">
            <v>Respite Prevention</v>
          </cell>
          <cell r="C636" t="str">
            <v>Transfer payments</v>
          </cell>
          <cell r="D636" t="str">
            <v>Care Payments</v>
          </cell>
          <cell r="E636">
            <v>320000</v>
          </cell>
        </row>
        <row r="637">
          <cell r="A637">
            <v>530337</v>
          </cell>
          <cell r="B637" t="str">
            <v>Short Stay Care</v>
          </cell>
          <cell r="C637" t="str">
            <v>Transfer payments</v>
          </cell>
          <cell r="D637" t="str">
            <v>Care Payments</v>
          </cell>
          <cell r="E637">
            <v>320000</v>
          </cell>
        </row>
        <row r="638">
          <cell r="A638">
            <v>530338</v>
          </cell>
          <cell r="B638" t="str">
            <v>Home Support Private</v>
          </cell>
          <cell r="C638" t="str">
            <v>Transfer payments</v>
          </cell>
          <cell r="D638" t="str">
            <v>Care Payments</v>
          </cell>
          <cell r="E638">
            <v>320000</v>
          </cell>
        </row>
        <row r="639">
          <cell r="A639">
            <v>530339</v>
          </cell>
          <cell r="B639" t="str">
            <v>Resident Care-Full P</v>
          </cell>
          <cell r="C639" t="str">
            <v>Transfer payments</v>
          </cell>
          <cell r="D639" t="str">
            <v>Care Payments</v>
          </cell>
          <cell r="E639">
            <v>320000</v>
          </cell>
        </row>
        <row r="640">
          <cell r="A640">
            <v>530340</v>
          </cell>
          <cell r="B640" t="str">
            <v>Intermediat Care-EXP</v>
          </cell>
          <cell r="C640" t="str">
            <v>Transfer payments</v>
          </cell>
          <cell r="D640" t="str">
            <v>Care Payments</v>
          </cell>
          <cell r="E640">
            <v>320000</v>
          </cell>
        </row>
        <row r="641">
          <cell r="A641">
            <v>530341</v>
          </cell>
          <cell r="B641" t="str">
            <v>NursingCare-Full Pay</v>
          </cell>
          <cell r="C641" t="str">
            <v>Transfer payments</v>
          </cell>
          <cell r="D641" t="str">
            <v>Care Payments</v>
          </cell>
          <cell r="E641">
            <v>320000</v>
          </cell>
        </row>
        <row r="642">
          <cell r="A642">
            <v>530342</v>
          </cell>
          <cell r="B642" t="str">
            <v>Pharmacy Services</v>
          </cell>
          <cell r="C642" t="str">
            <v>Transfer payments</v>
          </cell>
          <cell r="D642" t="str">
            <v>Care Payments</v>
          </cell>
          <cell r="E642">
            <v>320000</v>
          </cell>
        </row>
        <row r="643">
          <cell r="A643">
            <v>530343</v>
          </cell>
          <cell r="B643" t="str">
            <v>Residential Care DP</v>
          </cell>
          <cell r="C643" t="str">
            <v>Transfer payments</v>
          </cell>
          <cell r="D643" t="str">
            <v>Care Payments</v>
          </cell>
          <cell r="E643">
            <v>320000</v>
          </cell>
        </row>
        <row r="644">
          <cell r="A644">
            <v>530344</v>
          </cell>
          <cell r="B644" t="str">
            <v>Residentl Care CONT</v>
          </cell>
          <cell r="C644" t="str">
            <v>Transfer payments</v>
          </cell>
          <cell r="D644" t="str">
            <v>Care Payments</v>
          </cell>
          <cell r="E644">
            <v>320000</v>
          </cell>
        </row>
        <row r="645">
          <cell r="A645">
            <v>530345</v>
          </cell>
          <cell r="B645" t="str">
            <v>DP Client Cont</v>
          </cell>
          <cell r="C645" t="str">
            <v>Transfer payments</v>
          </cell>
          <cell r="D645" t="str">
            <v>Care Payments</v>
          </cell>
          <cell r="E645">
            <v>320000</v>
          </cell>
        </row>
        <row r="646">
          <cell r="A646">
            <v>530346</v>
          </cell>
          <cell r="B646" t="str">
            <v>IB Client Cont</v>
          </cell>
          <cell r="C646" t="str">
            <v>Transfer payments</v>
          </cell>
          <cell r="D646" t="str">
            <v>Care Payments</v>
          </cell>
          <cell r="E646">
            <v>320000</v>
          </cell>
        </row>
        <row r="647">
          <cell r="A647">
            <v>530347</v>
          </cell>
          <cell r="B647" t="str">
            <v>Nursing Care CONT</v>
          </cell>
          <cell r="C647" t="str">
            <v>Transfer payments</v>
          </cell>
          <cell r="D647" t="str">
            <v>Care Payments</v>
          </cell>
          <cell r="E647">
            <v>320000</v>
          </cell>
        </row>
        <row r="648">
          <cell r="A648">
            <v>530348</v>
          </cell>
          <cell r="B648" t="str">
            <v>GP Services</v>
          </cell>
          <cell r="C648" t="str">
            <v>Transfer payments</v>
          </cell>
          <cell r="D648" t="str">
            <v>Care Payments</v>
          </cell>
          <cell r="E648">
            <v>320000</v>
          </cell>
        </row>
        <row r="649">
          <cell r="A649">
            <v>530350</v>
          </cell>
          <cell r="B649" t="str">
            <v>Lac Pocket Money</v>
          </cell>
          <cell r="C649" t="str">
            <v>Transfer payments</v>
          </cell>
          <cell r="D649" t="str">
            <v>Care Payments</v>
          </cell>
          <cell r="E649">
            <v>320000</v>
          </cell>
        </row>
        <row r="650">
          <cell r="A650">
            <v>530351</v>
          </cell>
          <cell r="B650" t="str">
            <v>LAC Maintenance</v>
          </cell>
          <cell r="C650" t="str">
            <v>Transfer payments</v>
          </cell>
          <cell r="D650" t="str">
            <v>Care Payments</v>
          </cell>
          <cell r="E650">
            <v>320000</v>
          </cell>
        </row>
        <row r="651">
          <cell r="A651">
            <v>530352</v>
          </cell>
          <cell r="B651" t="str">
            <v>LAC Family Contact</v>
          </cell>
          <cell r="C651" t="str">
            <v>Transfer payments</v>
          </cell>
          <cell r="D651" t="str">
            <v>Care Payments</v>
          </cell>
          <cell r="E651">
            <v>320000</v>
          </cell>
        </row>
        <row r="652">
          <cell r="A652">
            <v>530353</v>
          </cell>
          <cell r="B652" t="str">
            <v>LAC Hobbies</v>
          </cell>
          <cell r="C652" t="str">
            <v>Transfer payments</v>
          </cell>
          <cell r="D652" t="str">
            <v>Care Payments</v>
          </cell>
          <cell r="E652">
            <v>320000</v>
          </cell>
        </row>
        <row r="653">
          <cell r="A653">
            <v>530354</v>
          </cell>
          <cell r="B653" t="str">
            <v>LAC Holidays</v>
          </cell>
          <cell r="C653" t="str">
            <v>Transfer payments</v>
          </cell>
          <cell r="D653" t="str">
            <v>Care Payments</v>
          </cell>
          <cell r="E653">
            <v>320000</v>
          </cell>
        </row>
        <row r="654">
          <cell r="A654">
            <v>530355</v>
          </cell>
          <cell r="B654" t="str">
            <v>LAC Health</v>
          </cell>
          <cell r="C654" t="str">
            <v>Transfer payments</v>
          </cell>
          <cell r="D654" t="str">
            <v>Care Payments</v>
          </cell>
          <cell r="E654">
            <v>320000</v>
          </cell>
        </row>
        <row r="655">
          <cell r="A655">
            <v>530356</v>
          </cell>
          <cell r="B655" t="str">
            <v>Other Needs</v>
          </cell>
          <cell r="C655" t="str">
            <v>Transfer payments</v>
          </cell>
          <cell r="D655" t="str">
            <v>Care Payments</v>
          </cell>
          <cell r="E655">
            <v>320000</v>
          </cell>
        </row>
        <row r="656">
          <cell r="A656">
            <v>530357</v>
          </cell>
          <cell r="B656" t="str">
            <v>Special Needs</v>
          </cell>
          <cell r="C656" t="str">
            <v>Transfer payments</v>
          </cell>
          <cell r="D656" t="str">
            <v>Care Payments</v>
          </cell>
          <cell r="E656">
            <v>320000</v>
          </cell>
        </row>
        <row r="657">
          <cell r="A657">
            <v>530358</v>
          </cell>
          <cell r="B657" t="str">
            <v>Family Support</v>
          </cell>
          <cell r="C657" t="str">
            <v>Transfer payments</v>
          </cell>
          <cell r="D657" t="str">
            <v>Care Payments</v>
          </cell>
          <cell r="E657">
            <v>320000</v>
          </cell>
        </row>
        <row r="658">
          <cell r="A658">
            <v>530359</v>
          </cell>
          <cell r="B658" t="str">
            <v>Carers-recoverable</v>
          </cell>
          <cell r="C658" t="str">
            <v>Transfer payments</v>
          </cell>
          <cell r="D658" t="str">
            <v>Care Payments</v>
          </cell>
          <cell r="E658">
            <v>320000</v>
          </cell>
        </row>
        <row r="659">
          <cell r="A659">
            <v>530360</v>
          </cell>
          <cell r="B659" t="str">
            <v>AN Accommodate</v>
          </cell>
          <cell r="C659" t="str">
            <v>Transfer payments</v>
          </cell>
          <cell r="D659" t="str">
            <v>Care Payments</v>
          </cell>
          <cell r="E659">
            <v>320000</v>
          </cell>
        </row>
        <row r="660">
          <cell r="A660">
            <v>530361</v>
          </cell>
          <cell r="B660" t="str">
            <v>Residential -top ups</v>
          </cell>
          <cell r="C660" t="str">
            <v>Transfer payments</v>
          </cell>
          <cell r="D660" t="str">
            <v>Care Payments</v>
          </cell>
          <cell r="E660">
            <v>320000</v>
          </cell>
        </row>
        <row r="661">
          <cell r="A661">
            <v>530370</v>
          </cell>
          <cell r="B661" t="str">
            <v>Home Support -BC</v>
          </cell>
          <cell r="C661" t="str">
            <v>Transfer payments</v>
          </cell>
          <cell r="D661" t="str">
            <v>Care Payments</v>
          </cell>
          <cell r="E661">
            <v>320000</v>
          </cell>
        </row>
        <row r="662">
          <cell r="A662">
            <v>530371</v>
          </cell>
          <cell r="B662" t="str">
            <v>Home Support -Spot</v>
          </cell>
          <cell r="C662" t="str">
            <v>Transfer payments</v>
          </cell>
          <cell r="D662" t="str">
            <v>Care Payments</v>
          </cell>
          <cell r="E662">
            <v>320000</v>
          </cell>
        </row>
        <row r="663">
          <cell r="A663">
            <v>530372</v>
          </cell>
          <cell r="B663" t="str">
            <v>Community Support</v>
          </cell>
          <cell r="C663" t="str">
            <v>Transfer payments</v>
          </cell>
          <cell r="D663" t="str">
            <v>Care Payments</v>
          </cell>
          <cell r="E663">
            <v>320000</v>
          </cell>
        </row>
        <row r="664">
          <cell r="A664">
            <v>530373</v>
          </cell>
          <cell r="B664" t="str">
            <v>Day Care - Spot</v>
          </cell>
          <cell r="C664" t="str">
            <v>Transfer payments</v>
          </cell>
          <cell r="D664" t="str">
            <v>Care Payments</v>
          </cell>
          <cell r="E664">
            <v>320000</v>
          </cell>
        </row>
        <row r="665">
          <cell r="A665">
            <v>530374</v>
          </cell>
          <cell r="B665" t="str">
            <v>Adult Placement</v>
          </cell>
          <cell r="C665" t="str">
            <v>Transfer payments</v>
          </cell>
          <cell r="D665" t="str">
            <v>Care Payments</v>
          </cell>
          <cell r="E665">
            <v>320000</v>
          </cell>
        </row>
        <row r="666">
          <cell r="A666">
            <v>530500</v>
          </cell>
          <cell r="B666" t="str">
            <v>Allowances</v>
          </cell>
          <cell r="C666" t="str">
            <v>Transfer payments</v>
          </cell>
          <cell r="D666" t="str">
            <v>Transfer payments</v>
          </cell>
          <cell r="E666">
            <v>999999</v>
          </cell>
        </row>
        <row r="667">
          <cell r="A667">
            <v>530501</v>
          </cell>
          <cell r="B667" t="str">
            <v>Discretionary Allow</v>
          </cell>
          <cell r="C667" t="str">
            <v>Transfer payments</v>
          </cell>
          <cell r="D667" t="str">
            <v>Transfer payments</v>
          </cell>
          <cell r="E667">
            <v>999999</v>
          </cell>
        </row>
        <row r="668">
          <cell r="A668">
            <v>530502</v>
          </cell>
          <cell r="B668" t="str">
            <v>H B Adjustments</v>
          </cell>
          <cell r="C668" t="str">
            <v>Transfer payments</v>
          </cell>
          <cell r="D668" t="str">
            <v>Transfer payments</v>
          </cell>
          <cell r="E668">
            <v>999999</v>
          </cell>
        </row>
        <row r="669">
          <cell r="A669">
            <v>530503</v>
          </cell>
          <cell r="B669" t="str">
            <v>H B Payments</v>
          </cell>
          <cell r="C669" t="str">
            <v>Transfer payments</v>
          </cell>
          <cell r="D669" t="str">
            <v>Transfer payments</v>
          </cell>
          <cell r="E669">
            <v>999999</v>
          </cell>
        </row>
        <row r="670">
          <cell r="A670">
            <v>530504</v>
          </cell>
          <cell r="B670" t="str">
            <v>HB -Rent Cert</v>
          </cell>
          <cell r="C670" t="str">
            <v>Transfer payments</v>
          </cell>
          <cell r="D670" t="str">
            <v>Transfer payments</v>
          </cell>
          <cell r="E670">
            <v>999999</v>
          </cell>
        </row>
        <row r="671">
          <cell r="A671">
            <v>530505</v>
          </cell>
          <cell r="B671" t="str">
            <v>HB -Rent Standard</v>
          </cell>
          <cell r="C671" t="str">
            <v>Transfer payments</v>
          </cell>
          <cell r="D671" t="str">
            <v>Transfer payments</v>
          </cell>
          <cell r="E671">
            <v>999999</v>
          </cell>
        </row>
        <row r="672">
          <cell r="A672">
            <v>530506</v>
          </cell>
          <cell r="B672" t="str">
            <v>Non Hra Rent Rebates</v>
          </cell>
          <cell r="C672" t="str">
            <v>Transfer payments</v>
          </cell>
          <cell r="D672" t="str">
            <v>Transfer payments</v>
          </cell>
          <cell r="E672">
            <v>999999</v>
          </cell>
        </row>
        <row r="673">
          <cell r="A673">
            <v>530507</v>
          </cell>
          <cell r="B673" t="str">
            <v>Over/Pay-Rent I.S Fr</v>
          </cell>
          <cell r="C673" t="str">
            <v>Transfer payments</v>
          </cell>
          <cell r="D673" t="str">
            <v>Transfer payments</v>
          </cell>
          <cell r="E673">
            <v>999999</v>
          </cell>
        </row>
        <row r="674">
          <cell r="A674">
            <v>530508</v>
          </cell>
          <cell r="B674" t="str">
            <v>Over/Pay-Rent I.Supp</v>
          </cell>
          <cell r="C674" t="str">
            <v>Transfer payments</v>
          </cell>
          <cell r="D674" t="str">
            <v>Transfer payments</v>
          </cell>
          <cell r="E674">
            <v>999999</v>
          </cell>
        </row>
        <row r="675">
          <cell r="A675">
            <v>530509</v>
          </cell>
          <cell r="B675" t="str">
            <v>Over/Pay-Rent Fraud</v>
          </cell>
          <cell r="C675" t="str">
            <v>Transfer payments</v>
          </cell>
          <cell r="D675" t="str">
            <v>Transfer payments</v>
          </cell>
          <cell r="E675">
            <v>999999</v>
          </cell>
        </row>
        <row r="676">
          <cell r="A676">
            <v>530510</v>
          </cell>
          <cell r="B676" t="str">
            <v>Over/Pay-Rents Stand</v>
          </cell>
          <cell r="C676" t="str">
            <v>Transfer payments</v>
          </cell>
          <cell r="D676" t="str">
            <v>Transfer payments</v>
          </cell>
          <cell r="E676">
            <v>999999</v>
          </cell>
        </row>
        <row r="677">
          <cell r="A677">
            <v>561701</v>
          </cell>
          <cell r="B677" t="str">
            <v>Norfolk Property Man</v>
          </cell>
          <cell r="C677" t="str">
            <v>Transfer payments</v>
          </cell>
          <cell r="D677" t="str">
            <v>Transfer payments</v>
          </cell>
          <cell r="E677">
            <v>190000</v>
          </cell>
        </row>
        <row r="678">
          <cell r="A678">
            <v>561702</v>
          </cell>
          <cell r="B678" t="str">
            <v>Consultancy Fee-Dfg</v>
          </cell>
          <cell r="C678" t="str">
            <v>Transfer payments</v>
          </cell>
          <cell r="D678" t="str">
            <v>Transfer payments</v>
          </cell>
          <cell r="E678">
            <v>999999</v>
          </cell>
        </row>
        <row r="679">
          <cell r="A679">
            <v>561703</v>
          </cell>
          <cell r="B679" t="str">
            <v>Servitor Rech-Distri</v>
          </cell>
          <cell r="C679" t="str">
            <v>Transfer payments</v>
          </cell>
          <cell r="D679" t="str">
            <v>Transfer payments</v>
          </cell>
          <cell r="E679">
            <v>999999</v>
          </cell>
        </row>
        <row r="680">
          <cell r="A680">
            <v>561704</v>
          </cell>
          <cell r="B680" t="str">
            <v>Service Contracts</v>
          </cell>
          <cell r="C680" t="str">
            <v>Transfer payments</v>
          </cell>
          <cell r="D680" t="str">
            <v>Service Contract Payments</v>
          </cell>
          <cell r="E680">
            <v>999999</v>
          </cell>
        </row>
        <row r="681">
          <cell r="A681">
            <v>599901</v>
          </cell>
          <cell r="B681" t="str">
            <v>U-Nwra Subscriptions</v>
          </cell>
          <cell r="C681" t="str">
            <v>Third party payments</v>
          </cell>
          <cell r="D681" t="str">
            <v>Third party payments - Public Sector</v>
          </cell>
          <cell r="E681">
            <v>202100</v>
          </cell>
        </row>
        <row r="682">
          <cell r="A682">
            <v>599902</v>
          </cell>
          <cell r="B682" t="str">
            <v>U-Agma-1Off Initiatv</v>
          </cell>
          <cell r="C682" t="str">
            <v>Third party payments</v>
          </cell>
          <cell r="D682" t="str">
            <v>Third party payments - Public Sector</v>
          </cell>
          <cell r="E682">
            <v>202100</v>
          </cell>
        </row>
        <row r="683">
          <cell r="A683">
            <v>599903</v>
          </cell>
          <cell r="B683" t="str">
            <v>U-Ombudsman</v>
          </cell>
          <cell r="C683" t="str">
            <v>Third party payments</v>
          </cell>
          <cell r="D683" t="str">
            <v>Third party payments - Public Sector</v>
          </cell>
          <cell r="E683">
            <v>280000</v>
          </cell>
        </row>
        <row r="684">
          <cell r="A684">
            <v>599904</v>
          </cell>
          <cell r="B684" t="str">
            <v>U-Subscriptions-Lga</v>
          </cell>
          <cell r="C684" t="str">
            <v>Third party payments</v>
          </cell>
          <cell r="D684" t="str">
            <v>Third party payments - Public Sector</v>
          </cell>
          <cell r="E684">
            <v>202100</v>
          </cell>
        </row>
        <row r="685">
          <cell r="A685">
            <v>599905</v>
          </cell>
          <cell r="B685" t="str">
            <v>U-Subscriptio-Sigoma</v>
          </cell>
          <cell r="C685" t="str">
            <v>Third party payments</v>
          </cell>
          <cell r="D685" t="str">
            <v>Third party payments - Public Sector</v>
          </cell>
          <cell r="E685">
            <v>202100</v>
          </cell>
        </row>
        <row r="686">
          <cell r="A686">
            <v>599906</v>
          </cell>
          <cell r="B686" t="str">
            <v>U-Nwoworking</v>
          </cell>
          <cell r="C686" t="str">
            <v>Third party payments</v>
          </cell>
          <cell r="D686" t="str">
            <v>Third party payments</v>
          </cell>
          <cell r="E686">
            <v>999999</v>
          </cell>
        </row>
        <row r="687">
          <cell r="A687">
            <v>599907</v>
          </cell>
          <cell r="B687" t="str">
            <v>U-Legal Counsel</v>
          </cell>
          <cell r="C687" t="str">
            <v>Third party payments</v>
          </cell>
          <cell r="D687" t="str">
            <v>Third party payments</v>
          </cell>
          <cell r="E687">
            <v>280000</v>
          </cell>
        </row>
        <row r="688">
          <cell r="A688">
            <v>599908</v>
          </cell>
          <cell r="B688" t="str">
            <v>U-Super-Additl Allow</v>
          </cell>
          <cell r="C688" t="str">
            <v>Third party payments</v>
          </cell>
          <cell r="D688" t="str">
            <v>Third party payments</v>
          </cell>
          <cell r="E688">
            <v>999999</v>
          </cell>
        </row>
        <row r="689">
          <cell r="A689">
            <v>599909</v>
          </cell>
          <cell r="B689" t="str">
            <v>U-Super-Additl Gratu</v>
          </cell>
          <cell r="C689" t="str">
            <v>Third party payments</v>
          </cell>
          <cell r="D689" t="str">
            <v>Third party payments</v>
          </cell>
          <cell r="E689">
            <v>999999</v>
          </cell>
        </row>
        <row r="690">
          <cell r="A690">
            <v>599910</v>
          </cell>
          <cell r="B690" t="str">
            <v>U-Vacant Depot Space</v>
          </cell>
          <cell r="C690" t="str">
            <v>Third party payments</v>
          </cell>
          <cell r="D690" t="str">
            <v>Third party payments</v>
          </cell>
          <cell r="E690">
            <v>999999</v>
          </cell>
        </row>
        <row r="691">
          <cell r="A691">
            <v>599911</v>
          </cell>
          <cell r="B691" t="str">
            <v>U-Staff Catering Sub</v>
          </cell>
          <cell r="C691" t="str">
            <v>Third party payments</v>
          </cell>
          <cell r="D691" t="str">
            <v>Third party payments</v>
          </cell>
          <cell r="E691">
            <v>999999</v>
          </cell>
        </row>
        <row r="692">
          <cell r="A692">
            <v>599912</v>
          </cell>
          <cell r="B692" t="str">
            <v>U-Build Mnt Payroll</v>
          </cell>
          <cell r="C692" t="str">
            <v>Third party payments</v>
          </cell>
          <cell r="D692" t="str">
            <v>Third party payments</v>
          </cell>
          <cell r="E692">
            <v>999999</v>
          </cell>
        </row>
        <row r="693">
          <cell r="A693">
            <v>599913</v>
          </cell>
          <cell r="B693" t="str">
            <v>U-Agma-Section 48</v>
          </cell>
          <cell r="C693" t="str">
            <v>Third party payments</v>
          </cell>
          <cell r="D693" t="str">
            <v>Third party payments - Public Sector</v>
          </cell>
          <cell r="E693">
            <v>291100</v>
          </cell>
        </row>
        <row r="694">
          <cell r="A694">
            <v>599914</v>
          </cell>
          <cell r="B694" t="str">
            <v>U-Lease-Grand Centra</v>
          </cell>
          <cell r="C694" t="str">
            <v>Third party payments</v>
          </cell>
          <cell r="D694" t="str">
            <v>Third party payments</v>
          </cell>
          <cell r="E694">
            <v>999999</v>
          </cell>
        </row>
        <row r="695">
          <cell r="A695">
            <v>600102</v>
          </cell>
          <cell r="B695" t="str">
            <v>Depreciation-An Prov</v>
          </cell>
          <cell r="C695" t="str">
            <v>MISCLASSIFIED? CHECK BEFORE PUBLICATION</v>
          </cell>
          <cell r="D695" t="str">
            <v>MISCLASSIFIED? CHECK BEFORE PUBLICATION</v>
          </cell>
          <cell r="E695">
            <v>999999</v>
          </cell>
        </row>
        <row r="696">
          <cell r="A696">
            <v>600103</v>
          </cell>
          <cell r="B696" t="str">
            <v>Depreciation-HRA</v>
          </cell>
          <cell r="C696" t="str">
            <v>Supplies and services</v>
          </cell>
          <cell r="D696" t="str">
            <v>Supplies and services</v>
          </cell>
          <cell r="E696">
            <v>999999</v>
          </cell>
        </row>
        <row r="697">
          <cell r="A697">
            <v>600201</v>
          </cell>
          <cell r="B697" t="str">
            <v>Annual Prudential Ch</v>
          </cell>
          <cell r="C697" t="str">
            <v>Capital financing costs</v>
          </cell>
          <cell r="D697" t="str">
            <v>Capital financing costs</v>
          </cell>
          <cell r="E697">
            <v>999999</v>
          </cell>
        </row>
        <row r="698">
          <cell r="A698">
            <v>600202</v>
          </cell>
          <cell r="B698" t="str">
            <v>Operating Lease Rent</v>
          </cell>
          <cell r="C698" t="str">
            <v>Capital financing costs</v>
          </cell>
          <cell r="D698" t="str">
            <v>Capital financing costs</v>
          </cell>
          <cell r="E698">
            <v>999999</v>
          </cell>
        </row>
        <row r="699">
          <cell r="A699">
            <v>600203</v>
          </cell>
          <cell r="B699" t="str">
            <v>Finance Lease Primar</v>
          </cell>
          <cell r="C699" t="str">
            <v>Capital financing costs</v>
          </cell>
          <cell r="D699" t="str">
            <v>Capital financing costs</v>
          </cell>
          <cell r="E699">
            <v>999999</v>
          </cell>
        </row>
        <row r="700">
          <cell r="A700">
            <v>600204</v>
          </cell>
          <cell r="B700" t="str">
            <v>P.or L. Asset Sales</v>
          </cell>
          <cell r="C700" t="str">
            <v>MISCLASSIFIED? CHECK BEFORE PUBLICATION</v>
          </cell>
          <cell r="D700" t="str">
            <v>MISCLASSIFIED? CHECK BEFORE PUBLICATION</v>
          </cell>
          <cell r="E700">
            <v>999999</v>
          </cell>
        </row>
        <row r="701">
          <cell r="A701">
            <v>600601</v>
          </cell>
          <cell r="B701" t="str">
            <v>Impairment Fix.Asset</v>
          </cell>
          <cell r="C701" t="str">
            <v>MISCLASSIFIED? CHECK BEFORE PUBLICATION</v>
          </cell>
          <cell r="D701" t="str">
            <v>MISCLASSIFIED? CHECK BEFORE PUBLICATION</v>
          </cell>
          <cell r="E701">
            <v>999999</v>
          </cell>
        </row>
        <row r="702">
          <cell r="A702">
            <v>600602</v>
          </cell>
          <cell r="B702" t="str">
            <v>FV-Investment props</v>
          </cell>
          <cell r="C702" t="str">
            <v>MISCLASSIFIED? CHECK BEFORE PUBLICATION</v>
          </cell>
          <cell r="D702" t="str">
            <v>MISCLASSIFIED? CHECK BEFORE PUBLICATION</v>
          </cell>
          <cell r="E702">
            <v>999999</v>
          </cell>
        </row>
        <row r="703">
          <cell r="A703">
            <v>600701</v>
          </cell>
          <cell r="B703" t="str">
            <v>Intangible Amortis'n</v>
          </cell>
          <cell r="C703" t="str">
            <v>MISCLASSIFIED? CHECK BEFORE PUBLICATION</v>
          </cell>
          <cell r="D703" t="str">
            <v>MISCLASSIFIED? CHECK BEFORE PUBLICATION</v>
          </cell>
          <cell r="E703">
            <v>999999</v>
          </cell>
        </row>
        <row r="704">
          <cell r="A704">
            <v>600702</v>
          </cell>
          <cell r="B704" t="str">
            <v>Amortisation-Grant&amp;C</v>
          </cell>
          <cell r="C704" t="str">
            <v>MISCLASSIFIED? CHECK BEFORE PUBLICATION</v>
          </cell>
          <cell r="D704" t="str">
            <v>MISCLASSIFIED? CHECK BEFORE PUBLICATION</v>
          </cell>
          <cell r="E704">
            <v>999999</v>
          </cell>
        </row>
        <row r="705">
          <cell r="A705">
            <v>600703</v>
          </cell>
          <cell r="B705" t="str">
            <v>Deferred Charges</v>
          </cell>
          <cell r="C705" t="str">
            <v>MISCLASSIFIED? CHECK BEFORE PUBLICATION</v>
          </cell>
          <cell r="D705" t="str">
            <v>MISCLASSIFIED? CHECK BEFORE PUBLICATION</v>
          </cell>
          <cell r="E705">
            <v>999999</v>
          </cell>
        </row>
        <row r="706">
          <cell r="A706">
            <v>600704</v>
          </cell>
          <cell r="B706" t="str">
            <v>Recnised Grant&amp;Conts</v>
          </cell>
          <cell r="C706" t="str">
            <v>MISCLASSIFIED? CHECK BEFORE PUBLICATION</v>
          </cell>
          <cell r="D706" t="str">
            <v>MISCLASSIFIED? CHECK BEFORE PUBLICATION</v>
          </cell>
          <cell r="E706">
            <v>999999</v>
          </cell>
        </row>
        <row r="707">
          <cell r="A707">
            <v>601001</v>
          </cell>
          <cell r="B707" t="str">
            <v>Cont To Bad Debt Pro</v>
          </cell>
          <cell r="C707" t="str">
            <v>Supplies and services</v>
          </cell>
          <cell r="D707" t="str">
            <v>MISCLASSIFIED? CHECK BEFORE PUBLICATION</v>
          </cell>
          <cell r="E707">
            <v>999999</v>
          </cell>
        </row>
        <row r="708">
          <cell r="A708">
            <v>601002</v>
          </cell>
          <cell r="B708" t="str">
            <v>Cont To Provisions</v>
          </cell>
          <cell r="C708" t="str">
            <v>Supplies and services</v>
          </cell>
          <cell r="D708" t="str">
            <v>MISCLASSIFIED? CHECK BEFORE PUBLICATION</v>
          </cell>
          <cell r="E708">
            <v>999999</v>
          </cell>
        </row>
        <row r="709">
          <cell r="A709">
            <v>601003</v>
          </cell>
          <cell r="B709" t="str">
            <v>Settlemt Capital WBS</v>
          </cell>
          <cell r="C709" t="str">
            <v>MISCLASSIFIED? CHECK BEFORE PUBLICATION</v>
          </cell>
          <cell r="D709" t="str">
            <v>MISCLASSIFIED? CHECK BEFORE PUBLICATION</v>
          </cell>
          <cell r="E709">
            <v>999999</v>
          </cell>
        </row>
        <row r="710">
          <cell r="A710">
            <v>601004</v>
          </cell>
          <cell r="B710" t="str">
            <v>SETTLEMT BALSHT WBS</v>
          </cell>
          <cell r="C710" t="str">
            <v>Supplies and services</v>
          </cell>
          <cell r="D710" t="str">
            <v>MISCLASSIFIED? CHECK BEFORE PUBLICATION</v>
          </cell>
          <cell r="E710">
            <v>999999</v>
          </cell>
        </row>
        <row r="711">
          <cell r="A711">
            <v>601201</v>
          </cell>
          <cell r="B711" t="str">
            <v>Interest Payments</v>
          </cell>
          <cell r="C711" t="str">
            <v>Capital financing costs</v>
          </cell>
          <cell r="D711" t="str">
            <v>MISCLASSIFIED? CHECK BEFORE PUBLICATION</v>
          </cell>
          <cell r="E711">
            <v>999999</v>
          </cell>
        </row>
        <row r="712">
          <cell r="A712">
            <v>601202</v>
          </cell>
          <cell r="B712" t="str">
            <v>Interest In Lieu</v>
          </cell>
          <cell r="C712" t="str">
            <v>Capital financing costs</v>
          </cell>
          <cell r="D712" t="str">
            <v>MISCLASSIFIED? CHECK BEFORE PUBLICATION</v>
          </cell>
          <cell r="E712">
            <v>999999</v>
          </cell>
        </row>
        <row r="713">
          <cell r="A713">
            <v>601204</v>
          </cell>
          <cell r="B713" t="str">
            <v>Bank Interest Payabl</v>
          </cell>
          <cell r="C713" t="str">
            <v>Capital financing costs</v>
          </cell>
          <cell r="D713" t="str">
            <v>MISCLASSIFIED? CHECK BEFORE PUBLICATION</v>
          </cell>
          <cell r="E713">
            <v>999999</v>
          </cell>
        </row>
        <row r="714">
          <cell r="A714">
            <v>601212</v>
          </cell>
          <cell r="B714" t="str">
            <v>Interest On Advances</v>
          </cell>
          <cell r="C714" t="str">
            <v>Capital financing costs</v>
          </cell>
          <cell r="D714" t="str">
            <v>MISCLASSIFIED? CHECK BEFORE PUBLICATION</v>
          </cell>
          <cell r="E714">
            <v>999999</v>
          </cell>
        </row>
        <row r="715">
          <cell r="A715">
            <v>601213</v>
          </cell>
          <cell r="B715" t="str">
            <v>Loan Purch-Interest</v>
          </cell>
          <cell r="C715" t="str">
            <v>Capital financing costs</v>
          </cell>
          <cell r="D715" t="str">
            <v>MISCLASSIFIED? CHECK BEFORE PUBLICATION</v>
          </cell>
          <cell r="E715">
            <v>999999</v>
          </cell>
        </row>
        <row r="716">
          <cell r="A716">
            <v>601214</v>
          </cell>
          <cell r="B716" t="str">
            <v>FRS17Interest costs</v>
          </cell>
          <cell r="C716" t="str">
            <v>MISCLASSIFIED? CHECK BEFORE PUBLICATION</v>
          </cell>
          <cell r="D716" t="str">
            <v>MISCLASSIFIED? CHECK BEFORE PUBLICATION</v>
          </cell>
          <cell r="E716">
            <v>999999</v>
          </cell>
        </row>
        <row r="717">
          <cell r="A717">
            <v>601215</v>
          </cell>
          <cell r="B717" t="str">
            <v>FRS17-Actuarial G/L</v>
          </cell>
          <cell r="C717" t="str">
            <v>MISCLASSIFIED? CHECK BEFORE PUBLICATION</v>
          </cell>
          <cell r="D717" t="str">
            <v>MISCLASSIFIED? CHECK BEFORE PUBLICATION</v>
          </cell>
          <cell r="E717">
            <v>999999</v>
          </cell>
        </row>
        <row r="718">
          <cell r="A718">
            <v>601401</v>
          </cell>
          <cell r="B718" t="str">
            <v>Debt Mant Expenses</v>
          </cell>
          <cell r="C718" t="str">
            <v>Capital financing costs</v>
          </cell>
          <cell r="D718" t="str">
            <v>MISCLASSIFIED? CHECK BEFORE PUBLICATION</v>
          </cell>
          <cell r="E718">
            <v>999999</v>
          </cell>
        </row>
        <row r="719">
          <cell r="A719">
            <v>601402</v>
          </cell>
          <cell r="B719" t="str">
            <v>Girobank Fees</v>
          </cell>
          <cell r="C719" t="str">
            <v>Capital financing costs</v>
          </cell>
          <cell r="D719" t="str">
            <v>MISCLASSIFIED? CHECK BEFORE PUBLICATION</v>
          </cell>
          <cell r="E719">
            <v>999999</v>
          </cell>
        </row>
        <row r="720">
          <cell r="A720">
            <v>601403</v>
          </cell>
          <cell r="B720" t="str">
            <v>Bank Charges Payable</v>
          </cell>
          <cell r="C720" t="str">
            <v>Capital financing costs</v>
          </cell>
          <cell r="D720" t="str">
            <v>Bank Charges</v>
          </cell>
          <cell r="E720">
            <v>999999</v>
          </cell>
        </row>
        <row r="721">
          <cell r="A721">
            <v>601404</v>
          </cell>
          <cell r="B721" t="str">
            <v>Short Term Loans Com</v>
          </cell>
          <cell r="C721" t="str">
            <v>Capital financing costs</v>
          </cell>
          <cell r="D721" t="str">
            <v>MISCLASSIFIED? CHECK BEFORE PUBLICATION</v>
          </cell>
          <cell r="E721">
            <v>999999</v>
          </cell>
        </row>
        <row r="722">
          <cell r="A722">
            <v>601405</v>
          </cell>
          <cell r="B722" t="str">
            <v>Pwlb Loans Comm Pay</v>
          </cell>
          <cell r="C722" t="str">
            <v>Capital financing costs</v>
          </cell>
          <cell r="D722" t="str">
            <v>MISCLASSIFIED? CHECK BEFORE PUBLICATION</v>
          </cell>
          <cell r="E722">
            <v>999999</v>
          </cell>
        </row>
        <row r="723">
          <cell r="A723">
            <v>601406</v>
          </cell>
          <cell r="B723" t="str">
            <v>Annual Charge Pwlb</v>
          </cell>
          <cell r="C723" t="str">
            <v>Capital financing costs</v>
          </cell>
          <cell r="D723" t="str">
            <v>MISCLASSIFIED? CHECK BEFORE PUBLICATION</v>
          </cell>
          <cell r="E723">
            <v>999999</v>
          </cell>
        </row>
        <row r="724">
          <cell r="A724">
            <v>601407</v>
          </cell>
          <cell r="B724" t="str">
            <v>Premiums/Discounts</v>
          </cell>
          <cell r="C724" t="str">
            <v>Capital financing costs</v>
          </cell>
          <cell r="D724" t="str">
            <v>MISCLASSIFIED? CHECK BEFORE PUBLICATION</v>
          </cell>
          <cell r="E724">
            <v>999999</v>
          </cell>
        </row>
        <row r="725">
          <cell r="A725">
            <v>602201</v>
          </cell>
          <cell r="B725" t="str">
            <v xml:space="preserve"> 80% Mandatory Relie</v>
          </cell>
          <cell r="C725" t="str">
            <v>MISCLASSIFIED? CHECK BEFORE PUBLICATION</v>
          </cell>
          <cell r="D725" t="str">
            <v>MISCLASSIFIED? CHECK BEFORE PUBLICATION</v>
          </cell>
          <cell r="E725">
            <v>201400</v>
          </cell>
        </row>
        <row r="726">
          <cell r="A726">
            <v>602202</v>
          </cell>
          <cell r="B726" t="str">
            <v xml:space="preserve"> Bad Debt Provision</v>
          </cell>
          <cell r="C726" t="str">
            <v>MISCLASSIFIED? CHECK BEFORE PUBLICATION</v>
          </cell>
          <cell r="D726" t="str">
            <v>MISCLASSIFIED? CHECK BEFORE PUBLICATION</v>
          </cell>
          <cell r="E726">
            <v>999999</v>
          </cell>
        </row>
        <row r="727">
          <cell r="A727">
            <v>602203</v>
          </cell>
          <cell r="B727" t="str">
            <v xml:space="preserve"> Bailiffs'S Costs</v>
          </cell>
          <cell r="C727" t="str">
            <v>MISCLASSIFIED? CHECK BEFORE PUBLICATION</v>
          </cell>
          <cell r="D727" t="str">
            <v>MISCLASSIFIED? CHECK BEFORE PUBLICATION</v>
          </cell>
          <cell r="E727">
            <v>201600</v>
          </cell>
        </row>
        <row r="728">
          <cell r="A728">
            <v>602204</v>
          </cell>
          <cell r="B728" t="str">
            <v xml:space="preserve"> Cash</v>
          </cell>
          <cell r="C728" t="str">
            <v>MISCLASSIFIED? CHECK BEFORE PUBLICATION</v>
          </cell>
          <cell r="D728" t="str">
            <v>MISCLASSIFIED? CHECK BEFORE PUBLICATION</v>
          </cell>
          <cell r="E728">
            <v>999999</v>
          </cell>
        </row>
        <row r="729">
          <cell r="A729">
            <v>602205</v>
          </cell>
          <cell r="B729" t="str">
            <v xml:space="preserve"> Committal - Costs</v>
          </cell>
          <cell r="C729" t="str">
            <v>MISCLASSIFIED? CHECK BEFORE PUBLICATION</v>
          </cell>
          <cell r="D729" t="str">
            <v>MISCLASSIFIED? CHECK BEFORE PUBLICATION</v>
          </cell>
          <cell r="E729">
            <v>201600</v>
          </cell>
        </row>
        <row r="730">
          <cell r="A730">
            <v>602206</v>
          </cell>
          <cell r="B730" t="str">
            <v xml:space="preserve"> BRR Central Share</v>
          </cell>
          <cell r="C730" t="str">
            <v>MISCLASSIFIED? CHECK BEFORE PUBLICATION</v>
          </cell>
          <cell r="D730" t="str">
            <v>MISCLASSIFIED? CHECK BEFORE PUBLICATION</v>
          </cell>
          <cell r="E730">
            <v>999999</v>
          </cell>
        </row>
        <row r="731">
          <cell r="A731">
            <v>602207</v>
          </cell>
          <cell r="B731" t="str">
            <v xml:space="preserve"> Costs</v>
          </cell>
          <cell r="C731" t="str">
            <v>MISCLASSIFIED? CHECK BEFORE PUBLICATION</v>
          </cell>
          <cell r="D731" t="str">
            <v>MISCLASSIFIED? CHECK BEFORE PUBLICATION</v>
          </cell>
          <cell r="E731">
            <v>201600</v>
          </cell>
        </row>
        <row r="732">
          <cell r="A732">
            <v>602208</v>
          </cell>
          <cell r="B732" t="str">
            <v xml:space="preserve"> Council Tax</v>
          </cell>
          <cell r="C732" t="str">
            <v>MISCLASSIFIED? CHECK BEFORE PUBLICATION</v>
          </cell>
          <cell r="D732" t="str">
            <v>MISCLASSIFIED? CHECK BEFORE PUBLICATION</v>
          </cell>
          <cell r="E732">
            <v>201400</v>
          </cell>
        </row>
        <row r="733">
          <cell r="A733">
            <v>602209</v>
          </cell>
          <cell r="B733" t="str">
            <v xml:space="preserve"> Council Tax Benefit</v>
          </cell>
          <cell r="C733" t="str">
            <v>MISCLASSIFIED? CHECK BEFORE PUBLICATION</v>
          </cell>
          <cell r="D733" t="str">
            <v>MISCLASSIFIED? CHECK BEFORE PUBLICATION</v>
          </cell>
          <cell r="E733">
            <v>201400</v>
          </cell>
        </row>
        <row r="734">
          <cell r="A734">
            <v>602210</v>
          </cell>
          <cell r="B734" t="str">
            <v xml:space="preserve"> Council Tax Transit</v>
          </cell>
          <cell r="C734" t="str">
            <v>MISCLASSIFIED? CHECK BEFORE PUBLICATION</v>
          </cell>
          <cell r="D734" t="str">
            <v>MISCLASSIFIED? CHECK BEFORE PUBLICATION</v>
          </cell>
          <cell r="E734">
            <v>201400</v>
          </cell>
        </row>
        <row r="735">
          <cell r="A735">
            <v>602211</v>
          </cell>
          <cell r="B735" t="str">
            <v xml:space="preserve"> Decreased Liability</v>
          </cell>
          <cell r="C735" t="str">
            <v>MISCLASSIFIED? CHECK BEFORE PUBLICATION</v>
          </cell>
          <cell r="D735" t="str">
            <v>MISCLASSIFIED? CHECK BEFORE PUBLICATION</v>
          </cell>
          <cell r="E735">
            <v>201400</v>
          </cell>
        </row>
        <row r="736">
          <cell r="A736">
            <v>602212</v>
          </cell>
          <cell r="B736" t="str">
            <v xml:space="preserve"> Dec'D Liability Emp</v>
          </cell>
          <cell r="C736" t="str">
            <v>MISCLASSIFIED? CHECK BEFORE PUBLICATION</v>
          </cell>
          <cell r="D736" t="str">
            <v>MISCLASSIFIED? CHECK BEFORE PUBLICATION</v>
          </cell>
          <cell r="E736">
            <v>201400</v>
          </cell>
        </row>
        <row r="737">
          <cell r="A737">
            <v>602213</v>
          </cell>
          <cell r="B737" t="str">
            <v xml:space="preserve"> Dec'D Liability NND</v>
          </cell>
          <cell r="C737" t="str">
            <v>MISCLASSIFIED? CHECK BEFORE PUBLICATION</v>
          </cell>
          <cell r="D737" t="str">
            <v>MISCLASSIFIED? CHECK BEFORE PUBLICATION</v>
          </cell>
          <cell r="E737">
            <v>201400</v>
          </cell>
        </row>
        <row r="738">
          <cell r="A738">
            <v>602214</v>
          </cell>
          <cell r="B738" t="str">
            <v xml:space="preserve"> Dec'D Tax Liability</v>
          </cell>
          <cell r="C738" t="str">
            <v>MISCLASSIFIED? CHECK BEFORE PUBLICATION</v>
          </cell>
          <cell r="D738" t="str">
            <v>MISCLASSIFIED? CHECK BEFORE PUBLICATION</v>
          </cell>
          <cell r="E738">
            <v>201400</v>
          </cell>
        </row>
        <row r="739">
          <cell r="A739">
            <v>602215</v>
          </cell>
          <cell r="B739" t="str">
            <v xml:space="preserve"> Disabled Relief</v>
          </cell>
          <cell r="C739" t="str">
            <v>MISCLASSIFIED? CHECK BEFORE PUBLICATION</v>
          </cell>
          <cell r="D739" t="str">
            <v>MISCLASSIFIED? CHECK BEFORE PUBLICATION</v>
          </cell>
          <cell r="E739">
            <v>201400</v>
          </cell>
        </row>
        <row r="740">
          <cell r="A740">
            <v>602216</v>
          </cell>
          <cell r="B740" t="str">
            <v xml:space="preserve"> Discounts</v>
          </cell>
          <cell r="C740" t="str">
            <v>MISCLASSIFIED? CHECK BEFORE PUBLICATION</v>
          </cell>
          <cell r="D740" t="str">
            <v>MISCLASSIFIED? CHECK BEFORE PUBLICATION</v>
          </cell>
          <cell r="E740">
            <v>201400</v>
          </cell>
        </row>
        <row r="741">
          <cell r="A741">
            <v>602217</v>
          </cell>
          <cell r="B741" t="str">
            <v xml:space="preserve"> Discretionary Relie</v>
          </cell>
          <cell r="C741" t="str">
            <v>MISCLASSIFIED? CHECK BEFORE PUBLICATION</v>
          </cell>
          <cell r="D741" t="str">
            <v>MISCLASSIFIED? CHECK BEFORE PUBLICATION</v>
          </cell>
          <cell r="E741">
            <v>201400</v>
          </cell>
        </row>
        <row r="742">
          <cell r="A742">
            <v>602218</v>
          </cell>
          <cell r="B742" t="str">
            <v xml:space="preserve"> Empty Rate Inc Liab</v>
          </cell>
          <cell r="C742" t="str">
            <v>MISCLASSIFIED? CHECK BEFORE PUBLICATION</v>
          </cell>
          <cell r="D742" t="str">
            <v>MISCLASSIFIED? CHECK BEFORE PUBLICATION</v>
          </cell>
          <cell r="E742">
            <v>201400</v>
          </cell>
        </row>
        <row r="743">
          <cell r="A743">
            <v>602219</v>
          </cell>
          <cell r="B743" t="str">
            <v>Balance C/F</v>
          </cell>
          <cell r="C743" t="str">
            <v>MISCLASSIFIED? CHECK BEFORE PUBLICATION</v>
          </cell>
          <cell r="D743" t="str">
            <v>MISCLASSIFIED? CHECK BEFORE PUBLICATION</v>
          </cell>
          <cell r="E743">
            <v>201400</v>
          </cell>
        </row>
        <row r="744">
          <cell r="A744">
            <v>602220</v>
          </cell>
          <cell r="B744" t="str">
            <v xml:space="preserve"> Fire&amp;Cd Dist Surplu</v>
          </cell>
          <cell r="C744" t="str">
            <v>MISCLASSIFIED? CHECK BEFORE PUBLICATION</v>
          </cell>
          <cell r="D744" t="str">
            <v>MISCLASSIFIED? CHECK BEFORE PUBLICATION</v>
          </cell>
          <cell r="E744">
            <v>201400</v>
          </cell>
        </row>
        <row r="745">
          <cell r="A745">
            <v>602221</v>
          </cell>
          <cell r="B745" t="str">
            <v xml:space="preserve"> GM Fire&amp;C.Def Prece</v>
          </cell>
          <cell r="C745" t="str">
            <v>MISCLASSIFIED? CHECK BEFORE PUBLICATION</v>
          </cell>
          <cell r="D745" t="str">
            <v>MISCLASSIFIED? CHECK BEFORE PUBLICATION</v>
          </cell>
          <cell r="E745">
            <v>201400</v>
          </cell>
        </row>
        <row r="746">
          <cell r="A746">
            <v>602222</v>
          </cell>
          <cell r="B746" t="str">
            <v xml:space="preserve"> GM Police Precept</v>
          </cell>
          <cell r="C746" t="str">
            <v>MISCLASSIFIED? CHECK BEFORE PUBLICATION</v>
          </cell>
          <cell r="D746" t="str">
            <v>MISCLASSIFIED? CHECK BEFORE PUBLICATION</v>
          </cell>
          <cell r="E746">
            <v>201400</v>
          </cell>
        </row>
        <row r="747">
          <cell r="A747">
            <v>602223</v>
          </cell>
          <cell r="B747" t="str">
            <v xml:space="preserve"> Incr'D NNDR Liabili</v>
          </cell>
          <cell r="C747" t="str">
            <v>MISCLASSIFIED? CHECK BEFORE PUBLICATION</v>
          </cell>
          <cell r="D747" t="str">
            <v>MISCLASSIFIED? CHECK BEFORE PUBLICATION</v>
          </cell>
          <cell r="E747">
            <v>201400</v>
          </cell>
        </row>
        <row r="748">
          <cell r="A748">
            <v>602224</v>
          </cell>
          <cell r="B748" t="str">
            <v xml:space="preserve"> Incr'D Tax Liabilit</v>
          </cell>
          <cell r="C748" t="str">
            <v>MISCLASSIFIED? CHECK BEFORE PUBLICATION</v>
          </cell>
          <cell r="D748" t="str">
            <v>MISCLASSIFIED? CHECK BEFORE PUBLICATION</v>
          </cell>
          <cell r="E748">
            <v>201400</v>
          </cell>
        </row>
        <row r="749">
          <cell r="A749">
            <v>602225</v>
          </cell>
          <cell r="B749" t="str">
            <v xml:space="preserve"> Interest On Overpay</v>
          </cell>
          <cell r="C749" t="str">
            <v>MISCLASSIFIED? CHECK BEFORE PUBLICATION</v>
          </cell>
          <cell r="D749" t="str">
            <v>MISCLASSIFIED? CHECK BEFORE PUBLICATION</v>
          </cell>
          <cell r="E749">
            <v>201400</v>
          </cell>
        </row>
        <row r="750">
          <cell r="A750">
            <v>602226</v>
          </cell>
          <cell r="B750" t="str">
            <v xml:space="preserve"> N N D R</v>
          </cell>
          <cell r="C750" t="str">
            <v>MISCLASSIFIED? CHECK BEFORE PUBLICATION</v>
          </cell>
          <cell r="D750" t="str">
            <v>MISCLASSIFIED? CHECK BEFORE PUBLICATION</v>
          </cell>
          <cell r="E750">
            <v>201400</v>
          </cell>
        </row>
        <row r="751">
          <cell r="A751">
            <v>602227</v>
          </cell>
          <cell r="B751" t="str">
            <v>NNDR Cost Of Collect</v>
          </cell>
          <cell r="C751" t="str">
            <v>MISCLASSIFIED? CHECK BEFORE PUBLICATION</v>
          </cell>
          <cell r="D751" t="str">
            <v>MISCLASSIFIED? CHECK BEFORE PUBLICATION</v>
          </cell>
          <cell r="E751">
            <v>201400</v>
          </cell>
        </row>
        <row r="752">
          <cell r="A752">
            <v>602228</v>
          </cell>
          <cell r="B752" t="str">
            <v xml:space="preserve"> NDR Appeals Prov</v>
          </cell>
          <cell r="C752" t="str">
            <v>MISCLASSIFIED? CHECK BEFORE PUBLICATION</v>
          </cell>
          <cell r="D752" t="str">
            <v>MISCLASSIFIED? CHECK BEFORE PUBLICATION</v>
          </cell>
          <cell r="E752">
            <v>201400</v>
          </cell>
        </row>
        <row r="753">
          <cell r="A753">
            <v>602229</v>
          </cell>
          <cell r="B753" t="str">
            <v xml:space="preserve"> NNDR Mandatory Reli</v>
          </cell>
          <cell r="C753" t="str">
            <v>MISCLASSIFIED? CHECK BEFORE PUBLICATION</v>
          </cell>
          <cell r="D753" t="str">
            <v>MISCLASSIFIED? CHECK BEFORE PUBLICATION</v>
          </cell>
          <cell r="E753">
            <v>201400</v>
          </cell>
        </row>
        <row r="754">
          <cell r="A754">
            <v>602230</v>
          </cell>
          <cell r="B754" t="str">
            <v>NNDR Discret Relief</v>
          </cell>
          <cell r="C754" t="str">
            <v>MISCLASSIFIED? CHECK BEFORE PUBLICATION</v>
          </cell>
          <cell r="D754" t="str">
            <v>MISCLASSIFIED? CHECK BEFORE PUBLICATION</v>
          </cell>
          <cell r="E754">
            <v>201400</v>
          </cell>
        </row>
        <row r="755">
          <cell r="A755">
            <v>602231</v>
          </cell>
          <cell r="B755" t="str">
            <v xml:space="preserve"> NNDR Transit Relief</v>
          </cell>
          <cell r="C755" t="str">
            <v>MISCLASSIFIED? CHECK BEFORE PUBLICATION</v>
          </cell>
          <cell r="D755" t="str">
            <v>MISCLASSIFIED? CHECK BEFORE PUBLICATION</v>
          </cell>
          <cell r="E755">
            <v>201400</v>
          </cell>
        </row>
        <row r="756">
          <cell r="A756">
            <v>602232</v>
          </cell>
          <cell r="B756" t="str">
            <v xml:space="preserve"> Open-Empty Rate Lia</v>
          </cell>
          <cell r="C756" t="str">
            <v>MISCLASSIFIED? CHECK BEFORE PUBLICATION</v>
          </cell>
          <cell r="D756" t="str">
            <v>MISCLASSIFIED? CHECK BEFORE PUBLICATION</v>
          </cell>
          <cell r="E756">
            <v>201400</v>
          </cell>
        </row>
        <row r="757">
          <cell r="A757">
            <v>602233</v>
          </cell>
          <cell r="B757" t="str">
            <v xml:space="preserve"> Open-Liability Empt</v>
          </cell>
          <cell r="C757" t="str">
            <v>MISCLASSIFIED? CHECK BEFORE PUBLICATION</v>
          </cell>
          <cell r="D757" t="str">
            <v>MISCLASSIFIED? CHECK BEFORE PUBLICATION</v>
          </cell>
          <cell r="E757">
            <v>201400</v>
          </cell>
        </row>
        <row r="758">
          <cell r="A758">
            <v>602234</v>
          </cell>
          <cell r="B758" t="str">
            <v xml:space="preserve"> Open- Liability NND</v>
          </cell>
          <cell r="C758" t="str">
            <v>MISCLASSIFIED? CHECK BEFORE PUBLICATION</v>
          </cell>
          <cell r="D758" t="str">
            <v>MISCLASSIFIED? CHECK BEFORE PUBLICATION</v>
          </cell>
          <cell r="E758">
            <v>201400</v>
          </cell>
        </row>
        <row r="759">
          <cell r="A759">
            <v>602235</v>
          </cell>
          <cell r="B759" t="str">
            <v xml:space="preserve"> Open- Tax Liability</v>
          </cell>
          <cell r="C759" t="str">
            <v>MISCLASSIFIED? CHECK BEFORE PUBLICATION</v>
          </cell>
          <cell r="D759" t="str">
            <v>MISCLASSIFIED? CHECK BEFORE PUBLICATION</v>
          </cell>
          <cell r="E759">
            <v>201400</v>
          </cell>
        </row>
        <row r="760">
          <cell r="A760">
            <v>602236</v>
          </cell>
          <cell r="B760" t="str">
            <v xml:space="preserve"> Police Dist Of Surp</v>
          </cell>
          <cell r="C760" t="str">
            <v>MISCLASSIFIED? CHECK BEFORE PUBLICATION</v>
          </cell>
          <cell r="D760" t="str">
            <v>MISCLASSIFIED? CHECK BEFORE PUBLICATION</v>
          </cell>
          <cell r="E760">
            <v>201400</v>
          </cell>
        </row>
        <row r="761">
          <cell r="A761">
            <v>602237</v>
          </cell>
          <cell r="B761" t="str">
            <v xml:space="preserve"> Provision -Bad Debt</v>
          </cell>
          <cell r="C761" t="str">
            <v>MISCLASSIFIED? CHECK BEFORE PUBLICATION</v>
          </cell>
          <cell r="D761" t="str">
            <v>MISCLASSIFIED? CHECK BEFORE PUBLICATION</v>
          </cell>
          <cell r="E761">
            <v>201400</v>
          </cell>
        </row>
        <row r="762">
          <cell r="A762">
            <v>602238</v>
          </cell>
          <cell r="B762" t="str">
            <v xml:space="preserve"> Second Adult Rebate</v>
          </cell>
          <cell r="C762" t="str">
            <v>MISCLASSIFIED? CHECK BEFORE PUBLICATION</v>
          </cell>
          <cell r="D762" t="str">
            <v>MISCLASSIFIED? CHECK BEFORE PUBLICATION</v>
          </cell>
          <cell r="E762">
            <v>201400</v>
          </cell>
        </row>
        <row r="763">
          <cell r="A763">
            <v>602239</v>
          </cell>
          <cell r="B763" t="str">
            <v xml:space="preserve"> SMBC Dist Of Surplu</v>
          </cell>
          <cell r="C763" t="str">
            <v>MISCLASSIFIED? CHECK BEFORE PUBLICATION</v>
          </cell>
          <cell r="D763" t="str">
            <v>MISCLASSIFIED? CHECK BEFORE PUBLICATION</v>
          </cell>
          <cell r="E763">
            <v>201400</v>
          </cell>
        </row>
        <row r="764">
          <cell r="A764">
            <v>602240</v>
          </cell>
          <cell r="B764" t="str">
            <v xml:space="preserve"> SMBC Transfer</v>
          </cell>
          <cell r="C764" t="str">
            <v>MISCLASSIFIED? CHECK BEFORE PUBLICATION</v>
          </cell>
          <cell r="D764" t="str">
            <v>MISCLASSIFIED? CHECK BEFORE PUBLICATION</v>
          </cell>
          <cell r="E764">
            <v>201400</v>
          </cell>
        </row>
        <row r="765">
          <cell r="A765">
            <v>602241</v>
          </cell>
          <cell r="B765" t="str">
            <v xml:space="preserve"> Summons Costs</v>
          </cell>
          <cell r="C765" t="str">
            <v>MISCLASSIFIED? CHECK BEFORE PUBLICATION</v>
          </cell>
          <cell r="D765" t="str">
            <v>MISCLASSIFIED? CHECK BEFORE PUBLICATION</v>
          </cell>
          <cell r="E765">
            <v>201600</v>
          </cell>
        </row>
        <row r="766">
          <cell r="A766">
            <v>602242</v>
          </cell>
          <cell r="B766" t="str">
            <v xml:space="preserve"> Transf-Coll'N Fund</v>
          </cell>
          <cell r="C766" t="str">
            <v>MISCLASSIFIED? CHECK BEFORE PUBLICATION</v>
          </cell>
          <cell r="D766" t="str">
            <v>MISCLASSIFIED? CHECK BEFORE PUBLICATION</v>
          </cell>
          <cell r="E766">
            <v>201400</v>
          </cell>
        </row>
        <row r="767">
          <cell r="A767">
            <v>602243</v>
          </cell>
          <cell r="B767" t="str">
            <v xml:space="preserve"> Transitional Relief</v>
          </cell>
          <cell r="C767" t="str">
            <v>MISCLASSIFIED? CHECK BEFORE PUBLICATION</v>
          </cell>
          <cell r="D767" t="str">
            <v>MISCLASSIFIED? CHECK BEFORE PUBLICATION</v>
          </cell>
          <cell r="E767">
            <v>201400</v>
          </cell>
        </row>
        <row r="768">
          <cell r="A768">
            <v>602244</v>
          </cell>
          <cell r="B768" t="str">
            <v xml:space="preserve"> Transitional Surcha</v>
          </cell>
          <cell r="C768" t="str">
            <v>MISCLASSIFIED? CHECK BEFORE PUBLICATION</v>
          </cell>
          <cell r="D768" t="str">
            <v>MISCLASSIFIED? CHECK BEFORE PUBLICATION</v>
          </cell>
          <cell r="E768">
            <v>201400</v>
          </cell>
        </row>
        <row r="769">
          <cell r="A769">
            <v>602245</v>
          </cell>
          <cell r="B769" t="str">
            <v xml:space="preserve"> Write Offs</v>
          </cell>
          <cell r="C769" t="str">
            <v>MISCLASSIFIED? CHECK BEFORE PUBLICATION</v>
          </cell>
          <cell r="D769" t="str">
            <v>MISCLASSIFIED? CHECK BEFORE PUBLICATION</v>
          </cell>
          <cell r="E769">
            <v>201400</v>
          </cell>
        </row>
        <row r="770">
          <cell r="A770">
            <v>602246</v>
          </cell>
          <cell r="B770" t="str">
            <v xml:space="preserve"> Write Ons</v>
          </cell>
          <cell r="C770" t="str">
            <v>MISCLASSIFIED? CHECK BEFORE PUBLICATION</v>
          </cell>
          <cell r="D770" t="str">
            <v>MISCLASSIFIED? CHECK BEFORE PUBLICATION</v>
          </cell>
          <cell r="E770">
            <v>201400</v>
          </cell>
        </row>
        <row r="771">
          <cell r="A771">
            <v>602247</v>
          </cell>
          <cell r="B771" t="str">
            <v>Small Business Refie</v>
          </cell>
          <cell r="C771" t="str">
            <v>MISCLASSIFIED? CHECK BEFORE PUBLICATION</v>
          </cell>
          <cell r="D771" t="str">
            <v>MISCLASSIFIED? CHECK BEFORE PUBLICATION</v>
          </cell>
          <cell r="E771">
            <v>201400</v>
          </cell>
        </row>
        <row r="772">
          <cell r="A772">
            <v>602248</v>
          </cell>
          <cell r="B772" t="str">
            <v>Small Business Suppm</v>
          </cell>
          <cell r="C772" t="str">
            <v>MISCLASSIFIED? CHECK BEFORE PUBLICATION</v>
          </cell>
          <cell r="D772" t="str">
            <v>MISCLASSIFIED? CHECK BEFORE PUBLICATION</v>
          </cell>
          <cell r="E772">
            <v>201400</v>
          </cell>
        </row>
        <row r="773">
          <cell r="A773">
            <v>602249</v>
          </cell>
          <cell r="B773" t="str">
            <v>Balance B/F</v>
          </cell>
          <cell r="C773" t="str">
            <v>MISCLASSIFIED? CHECK BEFORE PUBLICATION</v>
          </cell>
          <cell r="D773" t="str">
            <v>MISCLASSIFIED? CHECK BEFORE PUBLICATION</v>
          </cell>
          <cell r="E773">
            <v>201400</v>
          </cell>
        </row>
        <row r="774">
          <cell r="A774">
            <v>602250</v>
          </cell>
          <cell r="B774" t="str">
            <v>Collectn Fund Adj Ac</v>
          </cell>
          <cell r="C774" t="str">
            <v>MISCLASSIFIED? CHECK BEFORE PUBLICATION</v>
          </cell>
          <cell r="D774" t="str">
            <v>MISCLASSIFIED? CHECK BEFORE PUBLICATION</v>
          </cell>
          <cell r="E774">
            <v>201400</v>
          </cell>
        </row>
        <row r="775">
          <cell r="A775">
            <v>602260</v>
          </cell>
          <cell r="B775" t="str">
            <v>Refunds</v>
          </cell>
          <cell r="C775" t="str">
            <v>Supplies and services</v>
          </cell>
          <cell r="D775" t="str">
            <v>Refunds</v>
          </cell>
          <cell r="E775">
            <v>201400</v>
          </cell>
        </row>
        <row r="776">
          <cell r="A776">
            <v>602261</v>
          </cell>
          <cell r="B776" t="str">
            <v>Refunds Council Tax</v>
          </cell>
          <cell r="C776" t="str">
            <v>MISCLASSIFIED? CHECK BEFORE PUBLICATION</v>
          </cell>
          <cell r="D776" t="str">
            <v>MISCLASSIFIED? CHECK BEFORE PUBLICATION</v>
          </cell>
          <cell r="E776">
            <v>201400</v>
          </cell>
        </row>
        <row r="777">
          <cell r="A777">
            <v>602401</v>
          </cell>
          <cell r="B777" t="str">
            <v>Aprop-To/From Hra Ac</v>
          </cell>
          <cell r="C777" t="str">
            <v>MISCLASSIFIED? CHECK BEFORE PUBLICATION</v>
          </cell>
          <cell r="D777" t="str">
            <v>MISCLASSIFIED? CHECK BEFORE PUBLICATION</v>
          </cell>
          <cell r="E777">
            <v>999999</v>
          </cell>
        </row>
        <row r="778">
          <cell r="A778">
            <v>602402</v>
          </cell>
          <cell r="B778" t="str">
            <v>*Aprop-From Hra Ac</v>
          </cell>
          <cell r="C778" t="str">
            <v>MISCLASSIFIED? CHECK BEFORE PUBLICATION</v>
          </cell>
          <cell r="D778" t="str">
            <v>MISCLASSIFIED? CHECK BEFORE PUBLICATION</v>
          </cell>
          <cell r="E778">
            <v>999999</v>
          </cell>
        </row>
        <row r="779">
          <cell r="A779">
            <v>602403</v>
          </cell>
          <cell r="B779" t="str">
            <v>Approp To/From Sch'l</v>
          </cell>
          <cell r="C779" t="str">
            <v>MISCLASSIFIED? CHECK BEFORE PUBLICATION</v>
          </cell>
          <cell r="D779" t="str">
            <v>MISCLASSIFIED? CHECK BEFORE PUBLICATION</v>
          </cell>
          <cell r="E779">
            <v>999999</v>
          </cell>
        </row>
        <row r="780">
          <cell r="A780">
            <v>602404</v>
          </cell>
          <cell r="B780" t="str">
            <v>*Approp Fr School B</v>
          </cell>
          <cell r="C780" t="str">
            <v>MISCLASSIFIED? CHECK BEFORE PUBLICATION</v>
          </cell>
          <cell r="D780" t="str">
            <v>MISCLASSIFIED? CHECK BEFORE PUBLICATION</v>
          </cell>
          <cell r="E780">
            <v>999999</v>
          </cell>
        </row>
        <row r="781">
          <cell r="A781">
            <v>602405</v>
          </cell>
          <cell r="B781" t="str">
            <v>Approp To/From E Res</v>
          </cell>
          <cell r="C781" t="str">
            <v>MISCLASSIFIED? CHECK BEFORE PUBLICATION</v>
          </cell>
          <cell r="D781" t="str">
            <v>MISCLASSIFIED? CHECK BEFORE PUBLICATION</v>
          </cell>
          <cell r="E781">
            <v>999999</v>
          </cell>
        </row>
        <row r="782">
          <cell r="A782">
            <v>602406</v>
          </cell>
          <cell r="B782" t="str">
            <v>*Approp Fr Earmark</v>
          </cell>
          <cell r="C782" t="str">
            <v>MISCLASSIFIED? CHECK BEFORE PUBLICATION</v>
          </cell>
          <cell r="D782" t="str">
            <v>MISCLASSIFIED? CHECK BEFORE PUBLICATION</v>
          </cell>
          <cell r="E782">
            <v>999999</v>
          </cell>
        </row>
        <row r="783">
          <cell r="A783">
            <v>602407</v>
          </cell>
          <cell r="B783" t="str">
            <v>Rev Finance Of Cap E</v>
          </cell>
          <cell r="C783" t="str">
            <v>Capital financing costs</v>
          </cell>
          <cell r="D783" t="str">
            <v>MISCLASSIFIED? CHECK BEFORE PUBLICATION</v>
          </cell>
          <cell r="E783">
            <v>999999</v>
          </cell>
        </row>
        <row r="784">
          <cell r="A784">
            <v>602408</v>
          </cell>
          <cell r="B784" t="str">
            <v>MRP - Loans Repay</v>
          </cell>
          <cell r="C784" t="str">
            <v>Capital financing costs</v>
          </cell>
          <cell r="D784" t="str">
            <v>MISCLASSIFIED? CHECK BEFORE PUBLICATION</v>
          </cell>
          <cell r="E784">
            <v>999999</v>
          </cell>
        </row>
        <row r="785">
          <cell r="A785">
            <v>602409</v>
          </cell>
          <cell r="B785" t="str">
            <v>G&amp;C Amort Adjustment</v>
          </cell>
          <cell r="C785" t="str">
            <v>MISCLASSIFIED? CHECK BEFORE PUBLICATION</v>
          </cell>
          <cell r="D785" t="str">
            <v>MISCLASSIFIED? CHECK BEFORE PUBLICATION</v>
          </cell>
          <cell r="E785">
            <v>999999</v>
          </cell>
        </row>
        <row r="786">
          <cell r="A786">
            <v>602410</v>
          </cell>
          <cell r="B786" t="str">
            <v>Deferred Charges Adj</v>
          </cell>
          <cell r="C786" t="str">
            <v>MISCLASSIFIED? CHECK BEFORE PUBLICATION</v>
          </cell>
          <cell r="D786" t="str">
            <v>MISCLASSIFIED? CHECK BEFORE PUBLICATION</v>
          </cell>
          <cell r="E786">
            <v>999999</v>
          </cell>
        </row>
        <row r="787">
          <cell r="A787">
            <v>602411</v>
          </cell>
          <cell r="B787" t="str">
            <v>Approp To/From IAS19</v>
          </cell>
          <cell r="C787" t="str">
            <v>MISCLASSIFIED? CHECK BEFORE PUBLICATION</v>
          </cell>
          <cell r="D787" t="str">
            <v>MISCLASSIFIED? CHECK BEFORE PUBLICATION</v>
          </cell>
          <cell r="E787">
            <v>999999</v>
          </cell>
        </row>
        <row r="788">
          <cell r="A788">
            <v>602412</v>
          </cell>
          <cell r="B788" t="str">
            <v>*Approp Fr Frs17 Pen</v>
          </cell>
          <cell r="C788" t="str">
            <v>MISCLASSIFIED? CHECK BEFORE PUBLICATION</v>
          </cell>
          <cell r="D788" t="str">
            <v>MISCLASSIFIED? CHECK BEFORE PUBLICATION</v>
          </cell>
          <cell r="E788">
            <v>999999</v>
          </cell>
        </row>
        <row r="789">
          <cell r="A789">
            <v>602413</v>
          </cell>
          <cell r="B789" t="str">
            <v>Appropn Fr Coll Fund</v>
          </cell>
          <cell r="C789" t="str">
            <v>MISCLASSIFIED? CHECK BEFORE PUBLICATION</v>
          </cell>
          <cell r="D789" t="str">
            <v>MISCLASSIFIED? CHECK BEFORE PUBLICATION</v>
          </cell>
          <cell r="E789">
            <v>999999</v>
          </cell>
        </row>
        <row r="790">
          <cell r="A790">
            <v>602414</v>
          </cell>
          <cell r="B790" t="str">
            <v>Coll Fund Deficit Ad</v>
          </cell>
          <cell r="C790" t="str">
            <v>MISCLASSIFIED? CHECK BEFORE PUBLICATION</v>
          </cell>
          <cell r="D790" t="str">
            <v>MISCLASSIFIED? CHECK BEFORE PUBLICATION</v>
          </cell>
          <cell r="E790">
            <v>999999</v>
          </cell>
        </row>
        <row r="791">
          <cell r="A791">
            <v>602415</v>
          </cell>
          <cell r="B791" t="str">
            <v>Coll Fund Surplus Ad</v>
          </cell>
          <cell r="C791" t="str">
            <v>MISCLASSIFIED? CHECK BEFORE PUBLICATION</v>
          </cell>
          <cell r="D791" t="str">
            <v>MISCLASSIFIED? CHECK BEFORE PUBLICATION</v>
          </cell>
          <cell r="E791">
            <v>999999</v>
          </cell>
        </row>
        <row r="792">
          <cell r="A792">
            <v>602416</v>
          </cell>
          <cell r="B792" t="str">
            <v>Revenue Support Gran</v>
          </cell>
          <cell r="C792" t="str">
            <v>MISCLASSIFIED? CHECK BEFORE PUBLICATION</v>
          </cell>
          <cell r="D792" t="str">
            <v>MISCLASSIFIED? CHECK BEFORE PUBLICATION</v>
          </cell>
          <cell r="E792">
            <v>999999</v>
          </cell>
        </row>
        <row r="793">
          <cell r="A793">
            <v>602417</v>
          </cell>
          <cell r="B793" t="str">
            <v>Demand for NDR CF</v>
          </cell>
          <cell r="C793" t="str">
            <v>MISCLASSIFIED? CHECK BEFORE PUBLICATION</v>
          </cell>
          <cell r="D793" t="str">
            <v>MISCLASSIFIED? CHECK BEFORE PUBLICATION</v>
          </cell>
          <cell r="E793">
            <v>999999</v>
          </cell>
        </row>
        <row r="794">
          <cell r="A794">
            <v>602418</v>
          </cell>
          <cell r="B794" t="str">
            <v>Approp To/From GFund</v>
          </cell>
          <cell r="C794" t="str">
            <v>MISCLASSIFIED? CHECK BEFORE PUBLICATION</v>
          </cell>
          <cell r="D794" t="str">
            <v>MISCLASSIFIED? CHECK BEFORE PUBLICATION</v>
          </cell>
          <cell r="E794">
            <v>999999</v>
          </cell>
        </row>
        <row r="795">
          <cell r="A795">
            <v>602419</v>
          </cell>
          <cell r="B795" t="str">
            <v>*Approp-From Gf Bal</v>
          </cell>
          <cell r="C795" t="str">
            <v>MISCLASSIFIED? CHECK BEFORE PUBLICATION</v>
          </cell>
          <cell r="D795" t="str">
            <v>MISCLASSIFIED? CHECK BEFORE PUBLICATION</v>
          </cell>
          <cell r="E795">
            <v>999999</v>
          </cell>
        </row>
        <row r="796">
          <cell r="A796">
            <v>602420</v>
          </cell>
          <cell r="B796" t="str">
            <v>Corporation Tax</v>
          </cell>
          <cell r="C796" t="str">
            <v>MISCLASSIFIED? CHECK BEFORE PUBLICATION</v>
          </cell>
          <cell r="D796" t="str">
            <v>MISCLASSIFIED? CHECK BEFORE PUBLICATION</v>
          </cell>
          <cell r="E796">
            <v>999999</v>
          </cell>
        </row>
        <row r="797">
          <cell r="A797">
            <v>602421</v>
          </cell>
          <cell r="B797" t="str">
            <v>LABGI Grant</v>
          </cell>
          <cell r="C797" t="str">
            <v>MISCLASSIFIED? CHECK BEFORE PUBLICATION</v>
          </cell>
          <cell r="D797" t="str">
            <v>MISCLASSIFIED? CHECK BEFORE PUBLICATION</v>
          </cell>
          <cell r="E797">
            <v>999999</v>
          </cell>
        </row>
        <row r="798">
          <cell r="A798">
            <v>602422</v>
          </cell>
          <cell r="B798" t="str">
            <v>RSG Ammending Report</v>
          </cell>
          <cell r="C798" t="str">
            <v>MISCLASSIFIED? CHECK BEFORE PUBLICATION</v>
          </cell>
          <cell r="D798" t="str">
            <v>MISCLASSIFIED? CHECK BEFORE PUBLICATION</v>
          </cell>
          <cell r="E798">
            <v>999999</v>
          </cell>
        </row>
        <row r="799">
          <cell r="A799">
            <v>602423</v>
          </cell>
          <cell r="B799" t="str">
            <v>LPSA Reward Grant</v>
          </cell>
          <cell r="C799" t="str">
            <v>MISCLASSIFIED? CHECK BEFORE PUBLICATION</v>
          </cell>
          <cell r="D799" t="str">
            <v>MISCLASSIFIED? CHECK BEFORE PUBLICATION</v>
          </cell>
          <cell r="E799">
            <v>999999</v>
          </cell>
        </row>
        <row r="800">
          <cell r="A800">
            <v>602424</v>
          </cell>
          <cell r="B800" t="str">
            <v>Deferred P/chase-Prn</v>
          </cell>
          <cell r="C800" t="str">
            <v>Capital financing costs</v>
          </cell>
          <cell r="D800" t="str">
            <v>MISCLASSIFIED? CHECK BEFORE PUBLICATION</v>
          </cell>
          <cell r="E800">
            <v>999999</v>
          </cell>
        </row>
        <row r="801">
          <cell r="A801">
            <v>602425</v>
          </cell>
          <cell r="B801" t="str">
            <v>Asset sales Adjust</v>
          </cell>
          <cell r="C801" t="str">
            <v>MISCLASSIFIED? CHECK BEFORE PUBLICATION</v>
          </cell>
          <cell r="D801" t="str">
            <v>MISCLASSIFIED? CHECK BEFORE PUBLICATION</v>
          </cell>
          <cell r="E801">
            <v>999999</v>
          </cell>
        </row>
        <row r="802">
          <cell r="A802">
            <v>602426</v>
          </cell>
          <cell r="B802" t="str">
            <v>Dividend paymt cost</v>
          </cell>
          <cell r="C802" t="str">
            <v>Capital financing costs</v>
          </cell>
          <cell r="D802" t="str">
            <v>MISCLASSIFIED? CHECK BEFORE PUBLICATION</v>
          </cell>
          <cell r="E802">
            <v>999999</v>
          </cell>
        </row>
        <row r="803">
          <cell r="A803">
            <v>602427</v>
          </cell>
          <cell r="B803" t="str">
            <v>Irrecoverable VAT</v>
          </cell>
          <cell r="C803" t="str">
            <v>MISCLASSIFIED? CHECK BEFORE PUBLICATION</v>
          </cell>
          <cell r="D803" t="str">
            <v>MISCLASSIFIED? CHECK BEFORE PUBLICATION</v>
          </cell>
          <cell r="E803">
            <v>999999</v>
          </cell>
        </row>
        <row r="804">
          <cell r="A804">
            <v>602428</v>
          </cell>
          <cell r="B804" t="str">
            <v>BRR Tariff Payments</v>
          </cell>
          <cell r="C804" t="str">
            <v>MISCLASSIFIED? CHECK BEFORE PUBLICATION</v>
          </cell>
          <cell r="D804" t="str">
            <v>Payments to central govt.</v>
          </cell>
          <cell r="E804">
            <v>999999</v>
          </cell>
        </row>
        <row r="805">
          <cell r="A805">
            <v>602430</v>
          </cell>
          <cell r="B805" t="str">
            <v>HRA-Sums dir by SofS</v>
          </cell>
          <cell r="C805" t="str">
            <v>MISCLASSIFIED? CHECK BEFORE PUBLICATION</v>
          </cell>
          <cell r="D805" t="str">
            <v>MISCLASSIFIED? CHECK BEFORE PUBLICATION</v>
          </cell>
          <cell r="E805">
            <v>999999</v>
          </cell>
        </row>
        <row r="806">
          <cell r="A806">
            <v>602440</v>
          </cell>
          <cell r="B806" t="str">
            <v>ADJ-Depreciation</v>
          </cell>
          <cell r="C806" t="str">
            <v>MISCLASSIFIED? CHECK BEFORE PUBLICATION</v>
          </cell>
          <cell r="D806" t="str">
            <v>MISCLASSIFIED? CHECK BEFORE PUBLICATION</v>
          </cell>
          <cell r="E806">
            <v>999999</v>
          </cell>
        </row>
        <row r="807">
          <cell r="A807">
            <v>602441</v>
          </cell>
          <cell r="B807" t="str">
            <v>ADJ-Impairment of FA</v>
          </cell>
          <cell r="C807" t="str">
            <v>MISCLASSIFIED? CHECK BEFORE PUBLICATION</v>
          </cell>
          <cell r="D807" t="str">
            <v>MISCLASSIFIED? CHECK BEFORE PUBLICATION</v>
          </cell>
          <cell r="E807">
            <v>999999</v>
          </cell>
        </row>
        <row r="808">
          <cell r="A808">
            <v>602442</v>
          </cell>
          <cell r="B808" t="str">
            <v>ADJ-Intangible Amort</v>
          </cell>
          <cell r="C808" t="str">
            <v>MISCLASSIFIED? CHECK BEFORE PUBLICATION</v>
          </cell>
          <cell r="D808" t="str">
            <v>MISCLASSIFIED? CHECK BEFORE PUBLICATION</v>
          </cell>
          <cell r="E808">
            <v>999999</v>
          </cell>
        </row>
        <row r="809">
          <cell r="A809">
            <v>602443</v>
          </cell>
          <cell r="B809" t="str">
            <v>ADJ-W/O Grants&amp;cont</v>
          </cell>
          <cell r="C809" t="str">
            <v>MISCLASSIFIED? CHECK BEFORE PUBLICATION</v>
          </cell>
          <cell r="D809" t="str">
            <v>MISCLASSIFIED? CHECK BEFORE PUBLICATION</v>
          </cell>
          <cell r="E809">
            <v>999999</v>
          </cell>
        </row>
        <row r="810">
          <cell r="A810">
            <v>602444</v>
          </cell>
          <cell r="B810" t="str">
            <v>ADJ-De Minimis capex</v>
          </cell>
          <cell r="C810" t="str">
            <v>MISCLASSIFIED? CHECK BEFORE PUBLICATION</v>
          </cell>
          <cell r="D810" t="str">
            <v>MISCLASSIFIED? CHECK BEFORE PUBLICATION</v>
          </cell>
          <cell r="E810">
            <v>999999</v>
          </cell>
        </row>
        <row r="811">
          <cell r="A811">
            <v>602445</v>
          </cell>
          <cell r="B811" t="str">
            <v>FI Appropriation a/c</v>
          </cell>
          <cell r="C811" t="str">
            <v>MISCLASSIFIED? CHECK BEFORE PUBLICATION</v>
          </cell>
          <cell r="D811" t="str">
            <v>MISCLASSIFIED? CHECK BEFORE PUBLICATION</v>
          </cell>
          <cell r="E811">
            <v>999999</v>
          </cell>
        </row>
        <row r="812">
          <cell r="A812">
            <v>602446</v>
          </cell>
          <cell r="B812" t="str">
            <v>Investment Prop Adjs</v>
          </cell>
          <cell r="C812" t="str">
            <v>MISCLASSIFIED? CHECK BEFORE PUBLICATION</v>
          </cell>
          <cell r="D812" t="str">
            <v>MISCLASSIFIED? CHECK BEFORE PUBLICATION</v>
          </cell>
          <cell r="E812">
            <v>999999</v>
          </cell>
        </row>
        <row r="813">
          <cell r="A813">
            <v>602447</v>
          </cell>
          <cell r="B813" t="str">
            <v>Acc Absences Adjs</v>
          </cell>
          <cell r="C813" t="str">
            <v>MISCLASSIFIED? CHECK BEFORE PUBLICATION</v>
          </cell>
          <cell r="D813" t="str">
            <v>MISCLASSIFIED? CHECK BEFORE PUBLICATION</v>
          </cell>
          <cell r="E813">
            <v>999999</v>
          </cell>
        </row>
        <row r="814">
          <cell r="A814">
            <v>602448</v>
          </cell>
          <cell r="B814" t="str">
            <v>Cont to Housing Pool</v>
          </cell>
          <cell r="C814" t="str">
            <v>MISCLASSIFIED? CHECK BEFORE PUBLICATION</v>
          </cell>
          <cell r="D814" t="str">
            <v>MISCLASSIFIED? CHECK BEFORE PUBLICATION</v>
          </cell>
          <cell r="E814">
            <v>999999</v>
          </cell>
        </row>
        <row r="815">
          <cell r="A815">
            <v>602449</v>
          </cell>
          <cell r="B815" t="str">
            <v>Housing Pool-Adj AC</v>
          </cell>
          <cell r="C815" t="str">
            <v>MISCLASSIFIED? CHECK BEFORE PUBLICATION</v>
          </cell>
          <cell r="D815" t="str">
            <v>MISCLASSIFIED? CHECK BEFORE PUBLICATION</v>
          </cell>
          <cell r="E815">
            <v>999999</v>
          </cell>
        </row>
        <row r="816">
          <cell r="A816">
            <v>602450</v>
          </cell>
          <cell r="B816" t="str">
            <v>Uneq Backpay-Adj a/c</v>
          </cell>
          <cell r="C816" t="str">
            <v>Employee expenditure</v>
          </cell>
          <cell r="D816" t="str">
            <v>MISCLASSIFIED? CHECK BEFORE PUBLICATION</v>
          </cell>
          <cell r="E816">
            <v>999999</v>
          </cell>
        </row>
        <row r="817">
          <cell r="A817">
            <v>700010</v>
          </cell>
          <cell r="B817" t="str">
            <v>Gov Grant -DCLG</v>
          </cell>
          <cell r="C817" t="str">
            <v>MISCLASSIFIED? CHECK BEFORE PUBLICATION</v>
          </cell>
          <cell r="D817" t="str">
            <v>Payments to central govt.</v>
          </cell>
          <cell r="E817">
            <v>999999</v>
          </cell>
        </row>
        <row r="818">
          <cell r="A818">
            <v>700011</v>
          </cell>
          <cell r="B818" t="str">
            <v>Gov Grant -DCSF</v>
          </cell>
          <cell r="C818" t="str">
            <v>MISCLASSIFIED? CHECK BEFORE PUBLICATION</v>
          </cell>
          <cell r="D818" t="str">
            <v>MISCLASSIFIED? CHECK BEFORE PUBLICATION</v>
          </cell>
          <cell r="E818">
            <v>999999</v>
          </cell>
        </row>
        <row r="819">
          <cell r="A819">
            <v>700012</v>
          </cell>
          <cell r="B819" t="str">
            <v>Gov Grant -DoH</v>
          </cell>
          <cell r="C819" t="str">
            <v>MISCLASSIFIED? CHECK BEFORE PUBLICATION</v>
          </cell>
          <cell r="D819" t="str">
            <v>MISCLASSIFIED? CHECK BEFORE PUBLICATION</v>
          </cell>
          <cell r="E819">
            <v>999999</v>
          </cell>
        </row>
        <row r="820">
          <cell r="A820">
            <v>700013</v>
          </cell>
          <cell r="B820" t="str">
            <v>Gov Grant -DWP</v>
          </cell>
          <cell r="C820" t="str">
            <v>MISCLASSIFIED? CHECK BEFORE PUBLICATION</v>
          </cell>
          <cell r="D820" t="str">
            <v>MISCLASSIFIED? CHECK BEFORE PUBLICATION</v>
          </cell>
          <cell r="E820">
            <v>999999</v>
          </cell>
        </row>
        <row r="821">
          <cell r="A821">
            <v>700014</v>
          </cell>
          <cell r="B821" t="str">
            <v>Gov Grant -MoJ HO</v>
          </cell>
          <cell r="C821" t="str">
            <v>MISCLASSIFIED? CHECK BEFORE PUBLICATION</v>
          </cell>
          <cell r="D821" t="str">
            <v>MISCLASSIFIED? CHECK BEFORE PUBLICATION</v>
          </cell>
          <cell r="E821">
            <v>999999</v>
          </cell>
        </row>
        <row r="822">
          <cell r="A822">
            <v>700015</v>
          </cell>
          <cell r="B822" t="str">
            <v>Gov Grant -DCMS</v>
          </cell>
          <cell r="C822" t="str">
            <v>MISCLASSIFIED? CHECK BEFORE PUBLICATION</v>
          </cell>
          <cell r="D822" t="str">
            <v>MISCLASSIFIED? CHECK BEFORE PUBLICATION</v>
          </cell>
          <cell r="E822">
            <v>999999</v>
          </cell>
        </row>
        <row r="823">
          <cell r="A823">
            <v>700016</v>
          </cell>
          <cell r="B823" t="str">
            <v>Gov Grant -DEFRA</v>
          </cell>
          <cell r="C823" t="str">
            <v>MISCLASSIFIED? CHECK BEFORE PUBLICATION</v>
          </cell>
          <cell r="D823" t="str">
            <v>MISCLASSIFIED? CHECK BEFORE PUBLICATION</v>
          </cell>
          <cell r="E823">
            <v>999999</v>
          </cell>
        </row>
        <row r="824">
          <cell r="A824">
            <v>700110</v>
          </cell>
          <cell r="B824" t="str">
            <v>Gov Grant -General</v>
          </cell>
          <cell r="C824" t="str">
            <v>MISCLASSIFIED? CHECK BEFORE PUBLICATION</v>
          </cell>
          <cell r="D824" t="str">
            <v>MISCLASSIFIED? CHECK BEFORE PUBLICATION</v>
          </cell>
          <cell r="E824">
            <v>999999</v>
          </cell>
        </row>
        <row r="825">
          <cell r="A825">
            <v>700120</v>
          </cell>
          <cell r="B825" t="str">
            <v>Non Gov'Mt Grant Inc</v>
          </cell>
          <cell r="C825" t="str">
            <v>MISCLASSIFIED? CHECK BEFORE PUBLICATION</v>
          </cell>
          <cell r="D825" t="str">
            <v>MISCLASSIFIED? CHECK BEFORE PUBLICATION</v>
          </cell>
          <cell r="E825">
            <v>999999</v>
          </cell>
        </row>
        <row r="826">
          <cell r="A826">
            <v>700121</v>
          </cell>
          <cell r="B826" t="str">
            <v>Gov'Mt Admin Grant I</v>
          </cell>
          <cell r="C826" t="str">
            <v>MISCLASSIFIED? CHECK BEFORE PUBLICATION</v>
          </cell>
          <cell r="D826" t="str">
            <v>MISCLASSIFIED? CHECK BEFORE PUBLICATION</v>
          </cell>
          <cell r="E826">
            <v>999999</v>
          </cell>
        </row>
        <row r="827">
          <cell r="A827">
            <v>700122</v>
          </cell>
          <cell r="B827" t="str">
            <v>Pupil Premium Income</v>
          </cell>
          <cell r="C827" t="str">
            <v>MISCLASSIFIED? CHECK BEFORE PUBLICATION</v>
          </cell>
          <cell r="D827" t="str">
            <v>MISCLASSIFIED? CHECK BEFORE PUBLICATION</v>
          </cell>
          <cell r="E827">
            <v>999999</v>
          </cell>
        </row>
        <row r="828">
          <cell r="A828">
            <v>700125</v>
          </cell>
          <cell r="B828" t="str">
            <v>S.H-Supporting Peopl</v>
          </cell>
          <cell r="C828" t="str">
            <v>MISCLASSIFIED? CHECK BEFORE PUBLICATION</v>
          </cell>
          <cell r="D828" t="str">
            <v>MISCLASSIFIED? CHECK BEFORE PUBLICATION</v>
          </cell>
          <cell r="E828">
            <v>999999</v>
          </cell>
        </row>
        <row r="829">
          <cell r="A829">
            <v>700126</v>
          </cell>
          <cell r="B829" t="str">
            <v>HB/CT Admin Grant</v>
          </cell>
          <cell r="C829" t="str">
            <v>MISCLASSIFIED? CHECK BEFORE PUBLICATION</v>
          </cell>
          <cell r="D829" t="str">
            <v>MISCLASSIFIED? CHECK BEFORE PUBLICATION</v>
          </cell>
          <cell r="E829">
            <v>999999</v>
          </cell>
        </row>
        <row r="830">
          <cell r="A830">
            <v>700201</v>
          </cell>
          <cell r="B830" t="str">
            <v>Cont To Joint Projec</v>
          </cell>
          <cell r="C830" t="str">
            <v>MISCLASSIFIED? CHECK BEFORE PUBLICATION</v>
          </cell>
          <cell r="D830" t="str">
            <v>MISCLASSIFIED? CHECK BEFORE PUBLICATION</v>
          </cell>
          <cell r="E830">
            <v>999999</v>
          </cell>
        </row>
        <row r="831">
          <cell r="A831">
            <v>700202</v>
          </cell>
          <cell r="B831" t="str">
            <v>Cont Fr Householders</v>
          </cell>
          <cell r="C831" t="str">
            <v>MISCLASSIFIED? CHECK BEFORE PUBLICATION</v>
          </cell>
          <cell r="D831" t="str">
            <v>MISCLASSIFIED? CHECK BEFORE PUBLICATION</v>
          </cell>
          <cell r="E831">
            <v>999999</v>
          </cell>
        </row>
        <row r="832">
          <cell r="A832">
            <v>700203</v>
          </cell>
          <cell r="B832" t="str">
            <v>Cont Fr Oth Services</v>
          </cell>
          <cell r="C832" t="str">
            <v>MISCLASSIFIED? CHECK BEFORE PUBLICATION</v>
          </cell>
          <cell r="D832" t="str">
            <v>MISCLASSIFIED? CHECK BEFORE PUBLICATION</v>
          </cell>
          <cell r="E832">
            <v>999999</v>
          </cell>
        </row>
        <row r="833">
          <cell r="A833">
            <v>700204</v>
          </cell>
          <cell r="B833" t="str">
            <v>Cont From Landlords</v>
          </cell>
          <cell r="C833" t="str">
            <v>MISCLASSIFIED? CHECK BEFORE PUBLICATION</v>
          </cell>
          <cell r="D833" t="str">
            <v>MISCLASSIFIED? CHECK BEFORE PUBLICATION</v>
          </cell>
          <cell r="E833">
            <v>999999</v>
          </cell>
        </row>
        <row r="834">
          <cell r="A834">
            <v>700205</v>
          </cell>
          <cell r="B834" t="str">
            <v>General Income (VAT)</v>
          </cell>
          <cell r="C834" t="str">
            <v>MISCLASSIFIED? CHECK BEFORE PUBLICATION</v>
          </cell>
          <cell r="D834" t="str">
            <v>MISCLASSIFIED? CHECK BEFORE PUBLICATION</v>
          </cell>
          <cell r="E834">
            <v>999999</v>
          </cell>
        </row>
        <row r="835">
          <cell r="A835">
            <v>700206</v>
          </cell>
          <cell r="B835" t="str">
            <v>Reimbursement</v>
          </cell>
          <cell r="C835" t="str">
            <v>MISCLASSIFIED? CHECK BEFORE PUBLICATION</v>
          </cell>
          <cell r="D835" t="str">
            <v>MISCLASSIFIED? CHECK BEFORE PUBLICATION</v>
          </cell>
          <cell r="E835">
            <v>999999</v>
          </cell>
        </row>
        <row r="836">
          <cell r="A836">
            <v>700207</v>
          </cell>
          <cell r="B836" t="str">
            <v>Refund From Leasor</v>
          </cell>
          <cell r="C836" t="str">
            <v>MISCLASSIFIED? CHECK BEFORE PUBLICATION</v>
          </cell>
          <cell r="D836" t="str">
            <v>MISCLASSIFIED? CHECK BEFORE PUBLICATION</v>
          </cell>
          <cell r="E836">
            <v>999999</v>
          </cell>
        </row>
        <row r="837">
          <cell r="A837">
            <v>700208</v>
          </cell>
          <cell r="B837" t="str">
            <v>Cont From Developers</v>
          </cell>
          <cell r="C837" t="str">
            <v>MISCLASSIFIED? CHECK BEFORE PUBLICATION</v>
          </cell>
          <cell r="D837" t="str">
            <v>MISCLASSIFIED? CHECK BEFORE PUBLICATION</v>
          </cell>
          <cell r="E837">
            <v>999999</v>
          </cell>
        </row>
        <row r="838">
          <cell r="A838">
            <v>700209</v>
          </cell>
          <cell r="B838" t="str">
            <v>Conference income</v>
          </cell>
          <cell r="C838" t="str">
            <v>MISCLASSIFIED? CHECK BEFORE PUBLICATION</v>
          </cell>
          <cell r="D838" t="str">
            <v>MISCLASSIFIED? CHECK BEFORE PUBLICATION</v>
          </cell>
          <cell r="E838">
            <v>999999</v>
          </cell>
        </row>
        <row r="839">
          <cell r="A839">
            <v>700210</v>
          </cell>
          <cell r="B839" t="str">
            <v>Management fee-incom</v>
          </cell>
          <cell r="C839" t="str">
            <v>MISCLASSIFIED? CHECK BEFORE PUBLICATION</v>
          </cell>
          <cell r="D839" t="str">
            <v>MISCLASSIFIED? CHECK BEFORE PUBLICATION</v>
          </cell>
          <cell r="E839">
            <v>999999</v>
          </cell>
        </row>
        <row r="840">
          <cell r="A840">
            <v>700211</v>
          </cell>
          <cell r="B840" t="str">
            <v>General Income (NV)</v>
          </cell>
          <cell r="C840" t="str">
            <v>MISCLASSIFIED? CHECK BEFORE PUBLICATION</v>
          </cell>
          <cell r="D840" t="str">
            <v>MISCLASSIFIED? CHECK BEFORE PUBLICATION</v>
          </cell>
          <cell r="E840">
            <v>999999</v>
          </cell>
        </row>
        <row r="841">
          <cell r="A841">
            <v>700250</v>
          </cell>
          <cell r="B841" t="str">
            <v>Contributions</v>
          </cell>
          <cell r="C841" t="str">
            <v>MISCLASSIFIED? CHECK BEFORE PUBLICATION</v>
          </cell>
          <cell r="D841" t="str">
            <v>MISCLASSIFIED? CHECK BEFORE PUBLICATION</v>
          </cell>
          <cell r="E841">
            <v>999999</v>
          </cell>
        </row>
        <row r="842">
          <cell r="A842">
            <v>700251</v>
          </cell>
          <cell r="B842" t="str">
            <v>Cont From Other La'S</v>
          </cell>
          <cell r="C842" t="str">
            <v>MISCLASSIFIED? CHECK BEFORE PUBLICATION</v>
          </cell>
          <cell r="D842" t="str">
            <v>MISCLASSIFIED? CHECK BEFORE PUBLICATION</v>
          </cell>
          <cell r="E842">
            <v>999999</v>
          </cell>
        </row>
        <row r="843">
          <cell r="A843">
            <v>700252</v>
          </cell>
          <cell r="B843" t="str">
            <v>Charitable Conts</v>
          </cell>
          <cell r="C843" t="str">
            <v>MISCLASSIFIED? CHECK BEFORE PUBLICATION</v>
          </cell>
          <cell r="D843" t="str">
            <v>MISCLASSIFIED? CHECK BEFORE PUBLICATION</v>
          </cell>
          <cell r="E843">
            <v>999999</v>
          </cell>
        </row>
        <row r="844">
          <cell r="A844">
            <v>700300</v>
          </cell>
          <cell r="B844" t="str">
            <v>Catering Income</v>
          </cell>
          <cell r="C844" t="str">
            <v>MISCLASSIFIED? CHECK BEFORE PUBLICATION</v>
          </cell>
          <cell r="D844" t="str">
            <v>MISCLASSIFIED? CHECK BEFORE PUBLICATION</v>
          </cell>
          <cell r="E844">
            <v>999999</v>
          </cell>
        </row>
        <row r="845">
          <cell r="A845">
            <v>700301</v>
          </cell>
          <cell r="B845" t="str">
            <v>Rechargeable Work</v>
          </cell>
          <cell r="C845" t="str">
            <v>MISCLASSIFIED? CHECK BEFORE PUBLICATION</v>
          </cell>
          <cell r="D845" t="str">
            <v>MISCLASSIFIED? CHECK BEFORE PUBLICATION</v>
          </cell>
          <cell r="E845">
            <v>999999</v>
          </cell>
        </row>
        <row r="846">
          <cell r="A846">
            <v>700302</v>
          </cell>
          <cell r="B846" t="str">
            <v>Footpath Crossings</v>
          </cell>
          <cell r="C846" t="str">
            <v>MISCLASSIFIED? CHECK BEFORE PUBLICATION</v>
          </cell>
          <cell r="D846" t="str">
            <v>MISCLASSIFIED? CHECK BEFORE PUBLICATION</v>
          </cell>
          <cell r="E846">
            <v>999999</v>
          </cell>
        </row>
        <row r="847">
          <cell r="A847">
            <v>700303</v>
          </cell>
          <cell r="B847" t="str">
            <v>Plann'G Consent Copy</v>
          </cell>
          <cell r="C847" t="str">
            <v>MISCLASSIFIED? CHECK BEFORE PUBLICATION</v>
          </cell>
          <cell r="D847" t="str">
            <v>MISCLASSIFIED? CHECK BEFORE PUBLICATION</v>
          </cell>
          <cell r="E847">
            <v>999999</v>
          </cell>
        </row>
        <row r="848">
          <cell r="A848">
            <v>700304</v>
          </cell>
          <cell r="B848" t="str">
            <v>Tree Pres'N Orders</v>
          </cell>
          <cell r="C848" t="str">
            <v>MISCLASSIFIED? CHECK BEFORE PUBLICATION</v>
          </cell>
          <cell r="D848" t="str">
            <v>MISCLASSIFIED? CHECK BEFORE PUBLICATION</v>
          </cell>
          <cell r="E848">
            <v>999999</v>
          </cell>
        </row>
        <row r="849">
          <cell r="A849">
            <v>700305</v>
          </cell>
          <cell r="B849" t="str">
            <v>Mail List-Planning A</v>
          </cell>
          <cell r="C849" t="str">
            <v>MISCLASSIFIED? CHECK BEFORE PUBLICATION</v>
          </cell>
          <cell r="D849" t="str">
            <v>MISCLASSIFIED? CHECK BEFORE PUBLICATION</v>
          </cell>
          <cell r="E849">
            <v>999999</v>
          </cell>
        </row>
        <row r="850">
          <cell r="A850">
            <v>700306</v>
          </cell>
          <cell r="B850" t="str">
            <v>Materials Sales</v>
          </cell>
          <cell r="C850" t="str">
            <v>MISCLASSIFIED? CHECK BEFORE PUBLICATION</v>
          </cell>
          <cell r="D850" t="str">
            <v>MISCLASSIFIED? CHECK BEFORE PUBLICATION</v>
          </cell>
          <cell r="E850">
            <v>999999</v>
          </cell>
        </row>
        <row r="851">
          <cell r="A851">
            <v>700307</v>
          </cell>
          <cell r="B851" t="str">
            <v>Refuse Sacks</v>
          </cell>
          <cell r="C851" t="str">
            <v>MISCLASSIFIED? CHECK BEFORE PUBLICATION</v>
          </cell>
          <cell r="D851" t="str">
            <v>MISCLASSIFIED? CHECK BEFORE PUBLICATION</v>
          </cell>
          <cell r="E851">
            <v>999999</v>
          </cell>
        </row>
        <row r="852">
          <cell r="A852">
            <v>700308</v>
          </cell>
          <cell r="B852" t="str">
            <v>Printing Etc. Sales</v>
          </cell>
          <cell r="C852" t="str">
            <v>MISCLASSIFIED? CHECK BEFORE PUBLICATION</v>
          </cell>
          <cell r="D852" t="str">
            <v>MISCLASSIFIED? CHECK BEFORE PUBLICATION</v>
          </cell>
          <cell r="E852">
            <v>999999</v>
          </cell>
        </row>
        <row r="853">
          <cell r="A853">
            <v>700309</v>
          </cell>
          <cell r="B853" t="str">
            <v>Council Minute-Sales</v>
          </cell>
          <cell r="C853" t="str">
            <v>MISCLASSIFIED? CHECK BEFORE PUBLICATION</v>
          </cell>
          <cell r="D853" t="str">
            <v>MISCLASSIFIED? CHECK BEFORE PUBLICATION</v>
          </cell>
          <cell r="E853">
            <v>999999</v>
          </cell>
        </row>
        <row r="854">
          <cell r="A854">
            <v>700310</v>
          </cell>
          <cell r="B854" t="str">
            <v>Sch.Meal Sales(VAT)</v>
          </cell>
          <cell r="C854" t="str">
            <v>MISCLASSIFIED? CHECK BEFORE PUBLICATION</v>
          </cell>
          <cell r="D854" t="str">
            <v>MISCLASSIFIED? CHECK BEFORE PUBLICATION</v>
          </cell>
          <cell r="E854">
            <v>999999</v>
          </cell>
        </row>
        <row r="855">
          <cell r="A855">
            <v>700315</v>
          </cell>
          <cell r="B855" t="str">
            <v>Cafe Sales (Vat)</v>
          </cell>
          <cell r="C855" t="str">
            <v>MISCLASSIFIED? CHECK BEFORE PUBLICATION</v>
          </cell>
          <cell r="D855" t="str">
            <v>MISCLASSIFIED? CHECK BEFORE PUBLICATION</v>
          </cell>
          <cell r="E855">
            <v>999999</v>
          </cell>
        </row>
        <row r="856">
          <cell r="A856">
            <v>700316</v>
          </cell>
          <cell r="B856" t="str">
            <v>Income Other</v>
          </cell>
          <cell r="C856" t="str">
            <v>MISCLASSIFIED? CHECK BEFORE PUBLICATION</v>
          </cell>
          <cell r="D856" t="str">
            <v>MISCLASSIFIED? CHECK BEFORE PUBLICATION</v>
          </cell>
          <cell r="E856">
            <v>999999</v>
          </cell>
        </row>
        <row r="857">
          <cell r="A857">
            <v>700320</v>
          </cell>
          <cell r="B857" t="str">
            <v>Aqua Cool Sales</v>
          </cell>
          <cell r="C857" t="str">
            <v>MISCLASSIFIED? CHECK BEFORE PUBLICATION</v>
          </cell>
          <cell r="D857" t="str">
            <v>MISCLASSIFIED? CHECK BEFORE PUBLICATION</v>
          </cell>
          <cell r="E857">
            <v>999999</v>
          </cell>
        </row>
        <row r="858">
          <cell r="A858">
            <v>700322</v>
          </cell>
          <cell r="B858" t="str">
            <v>Surplus Goods Sales</v>
          </cell>
          <cell r="C858" t="str">
            <v>MISCLASSIFIED? CHECK BEFORE PUBLICATION</v>
          </cell>
          <cell r="D858" t="str">
            <v>MISCLASSIFIED? CHECK BEFORE PUBLICATION</v>
          </cell>
          <cell r="E858">
            <v>999999</v>
          </cell>
        </row>
        <row r="859">
          <cell r="A859">
            <v>700324</v>
          </cell>
          <cell r="B859" t="str">
            <v>Recycling Income</v>
          </cell>
          <cell r="C859" t="str">
            <v>MISCLASSIFIED? CHECK BEFORE PUBLICATION</v>
          </cell>
          <cell r="D859" t="str">
            <v>MISCLASSIFIED? CHECK BEFORE PUBLICATION</v>
          </cell>
          <cell r="E859">
            <v>999999</v>
          </cell>
        </row>
        <row r="860">
          <cell r="A860">
            <v>700325</v>
          </cell>
          <cell r="B860" t="str">
            <v>Sales-general (VAT)</v>
          </cell>
          <cell r="C860" t="str">
            <v>MISCLASSIFIED? CHECK BEFORE PUBLICATION</v>
          </cell>
          <cell r="D860" t="str">
            <v>MISCLASSIFIED? CHECK BEFORE PUBLICATION</v>
          </cell>
          <cell r="E860">
            <v>999999</v>
          </cell>
        </row>
        <row r="861">
          <cell r="A861">
            <v>700326</v>
          </cell>
          <cell r="B861" t="str">
            <v>Sales-general (NV)</v>
          </cell>
          <cell r="C861" t="str">
            <v>MISCLASSIFIED? CHECK BEFORE PUBLICATION</v>
          </cell>
          <cell r="D861" t="str">
            <v>MISCLASSIFIED? CHECK BEFORE PUBLICATION</v>
          </cell>
          <cell r="E861">
            <v>999999</v>
          </cell>
        </row>
        <row r="862">
          <cell r="A862">
            <v>700400</v>
          </cell>
          <cell r="B862" t="str">
            <v>Parking-General</v>
          </cell>
          <cell r="C862" t="str">
            <v>MISCLASSIFIED? CHECK BEFORE PUBLICATION</v>
          </cell>
          <cell r="D862" t="str">
            <v>MISCLASSIFIED? CHECK BEFORE PUBLICATION</v>
          </cell>
          <cell r="E862">
            <v>999999</v>
          </cell>
        </row>
        <row r="863">
          <cell r="A863">
            <v>700401</v>
          </cell>
          <cell r="B863" t="str">
            <v>Parking-Barrier Card</v>
          </cell>
          <cell r="C863" t="str">
            <v>MISCLASSIFIED? CHECK BEFORE PUBLICATION</v>
          </cell>
          <cell r="D863" t="str">
            <v>MISCLASSIFIED? CHECK BEFORE PUBLICATION</v>
          </cell>
          <cell r="E863">
            <v>999999</v>
          </cell>
        </row>
        <row r="864">
          <cell r="A864">
            <v>700402</v>
          </cell>
          <cell r="B864" t="str">
            <v>Parking-Cont On St</v>
          </cell>
          <cell r="C864" t="str">
            <v>MISCLASSIFIED? CHECK BEFORE PUBLICATION</v>
          </cell>
          <cell r="D864" t="str">
            <v>MISCLASSIFIED? CHECK BEFORE PUBLICATION</v>
          </cell>
          <cell r="E864">
            <v>999999</v>
          </cell>
        </row>
        <row r="865">
          <cell r="A865">
            <v>700403</v>
          </cell>
          <cell r="B865" t="str">
            <v>Parking-Fees On Stre</v>
          </cell>
          <cell r="C865" t="str">
            <v>MISCLASSIFIED? CHECK BEFORE PUBLICATION</v>
          </cell>
          <cell r="D865" t="str">
            <v>MISCLASSIFIED? CHECK BEFORE PUBLICATION</v>
          </cell>
          <cell r="E865">
            <v>999999</v>
          </cell>
        </row>
        <row r="866">
          <cell r="A866">
            <v>700404</v>
          </cell>
          <cell r="B866" t="str">
            <v>Parking-Rents</v>
          </cell>
          <cell r="C866" t="str">
            <v>MISCLASSIFIED? CHECK BEFORE PUBLICATION</v>
          </cell>
          <cell r="D866" t="str">
            <v>MISCLASSIFIED? CHECK BEFORE PUBLICATION</v>
          </cell>
          <cell r="E866">
            <v>999999</v>
          </cell>
        </row>
        <row r="867">
          <cell r="A867">
            <v>700405</v>
          </cell>
          <cell r="B867" t="str">
            <v>Penalty Ch-Off Stree</v>
          </cell>
          <cell r="C867" t="str">
            <v>MISCLASSIFIED? CHECK BEFORE PUBLICATION</v>
          </cell>
          <cell r="D867" t="str">
            <v>MISCLASSIFIED? CHECK BEFORE PUBLICATION</v>
          </cell>
          <cell r="E867">
            <v>999999</v>
          </cell>
        </row>
        <row r="868">
          <cell r="A868">
            <v>700406</v>
          </cell>
          <cell r="B868" t="str">
            <v>Penalty Ch-On Street</v>
          </cell>
          <cell r="C868" t="str">
            <v>MISCLASSIFIED? CHECK BEFORE PUBLICATION</v>
          </cell>
          <cell r="D868" t="str">
            <v>MISCLASSIFIED? CHECK BEFORE PUBLICATION</v>
          </cell>
          <cell r="E868">
            <v>999999</v>
          </cell>
        </row>
        <row r="869">
          <cell r="A869">
            <v>700407</v>
          </cell>
          <cell r="B869" t="str">
            <v>Parking Fees-Off Str</v>
          </cell>
          <cell r="C869" t="str">
            <v>MISCLASSIFIED? CHECK BEFORE PUBLICATION</v>
          </cell>
          <cell r="D869" t="str">
            <v>MISCLASSIFIED? CHECK BEFORE PUBLICATION</v>
          </cell>
          <cell r="E869">
            <v>999999</v>
          </cell>
        </row>
        <row r="870">
          <cell r="A870">
            <v>700408</v>
          </cell>
          <cell r="B870" t="str">
            <v>Parking-Cont Off St</v>
          </cell>
          <cell r="C870" t="str">
            <v>MISCLASSIFIED? CHECK BEFORE PUBLICATION</v>
          </cell>
          <cell r="D870" t="str">
            <v>MISCLASSIFIED? CHECK BEFORE PUBLICATION</v>
          </cell>
          <cell r="E870">
            <v>999999</v>
          </cell>
        </row>
        <row r="871">
          <cell r="A871">
            <v>700409</v>
          </cell>
          <cell r="B871" t="str">
            <v>Parking-Residents</v>
          </cell>
          <cell r="C871" t="str">
            <v>MISCLASSIFIED? CHECK BEFORE PUBLICATION</v>
          </cell>
          <cell r="D871" t="str">
            <v>MISCLASSIFIED? CHECK BEFORE PUBLICATION</v>
          </cell>
          <cell r="E871">
            <v>999999</v>
          </cell>
        </row>
        <row r="872">
          <cell r="A872">
            <v>700410</v>
          </cell>
          <cell r="B872" t="str">
            <v>Parking-Staff</v>
          </cell>
          <cell r="C872" t="str">
            <v>MISCLASSIFIED? CHECK BEFORE PUBLICATION</v>
          </cell>
          <cell r="D872" t="str">
            <v>MISCLASSIFIED? CHECK BEFORE PUBLICATION</v>
          </cell>
          <cell r="E872">
            <v>999999</v>
          </cell>
        </row>
        <row r="873">
          <cell r="A873">
            <v>700500</v>
          </cell>
          <cell r="B873" t="str">
            <v>Weights&amp;Measures Inc</v>
          </cell>
          <cell r="C873" t="str">
            <v>MISCLASSIFIED? CHECK BEFORE PUBLICATION</v>
          </cell>
          <cell r="D873" t="str">
            <v>MISCLASSIFIED? CHECK BEFORE PUBLICATION</v>
          </cell>
          <cell r="E873">
            <v>999999</v>
          </cell>
        </row>
        <row r="874">
          <cell r="A874">
            <v>700510</v>
          </cell>
          <cell r="B874" t="str">
            <v>Market Tolls</v>
          </cell>
          <cell r="C874" t="str">
            <v>MISCLASSIFIED? CHECK BEFORE PUBLICATION</v>
          </cell>
          <cell r="D874" t="str">
            <v>MISCLASSIFIED? CHECK BEFORE PUBLICATION</v>
          </cell>
          <cell r="E874">
            <v>999999</v>
          </cell>
        </row>
        <row r="875">
          <cell r="A875">
            <v>700515</v>
          </cell>
          <cell r="B875" t="str">
            <v>Licencing Fees</v>
          </cell>
          <cell r="C875" t="str">
            <v>MISCLASSIFIED? CHECK BEFORE PUBLICATION</v>
          </cell>
          <cell r="D875" t="str">
            <v>MISCLASSIFIED? CHECK BEFORE PUBLICATION</v>
          </cell>
          <cell r="E875">
            <v>999999</v>
          </cell>
        </row>
        <row r="876">
          <cell r="A876">
            <v>700516</v>
          </cell>
          <cell r="B876" t="str">
            <v>Gambling Act Fees</v>
          </cell>
          <cell r="C876" t="str">
            <v>MISCLASSIFIED? CHECK BEFORE PUBLICATION</v>
          </cell>
          <cell r="D876" t="str">
            <v>MISCLASSIFIED? CHECK BEFORE PUBLICATION</v>
          </cell>
          <cell r="E876">
            <v>999999</v>
          </cell>
        </row>
        <row r="877">
          <cell r="A877">
            <v>700517</v>
          </cell>
          <cell r="B877" t="str">
            <v>Lic Fees Scrap Metal</v>
          </cell>
          <cell r="C877" t="str">
            <v>MISCLASSIFIED? CHECK BEFORE PUBLICATION</v>
          </cell>
          <cell r="D877" t="str">
            <v>MISCLASSIFIED? CHECK BEFORE PUBLICATION</v>
          </cell>
          <cell r="E877">
            <v>999999</v>
          </cell>
        </row>
        <row r="878">
          <cell r="A878">
            <v>700520</v>
          </cell>
          <cell r="B878" t="str">
            <v>Pest Control Contr</v>
          </cell>
          <cell r="C878" t="str">
            <v>MISCLASSIFIED? CHECK BEFORE PUBLICATION</v>
          </cell>
          <cell r="D878" t="str">
            <v>MISCLASSIFIED? CHECK BEFORE PUBLICATION</v>
          </cell>
          <cell r="E878">
            <v>999999</v>
          </cell>
        </row>
        <row r="879">
          <cell r="A879">
            <v>700521</v>
          </cell>
          <cell r="B879" t="str">
            <v>Pest C-Domestic Pest</v>
          </cell>
          <cell r="C879" t="str">
            <v>MISCLASSIFIED? CHECK BEFORE PUBLICATION</v>
          </cell>
          <cell r="D879" t="str">
            <v>MISCLASSIFIED? CHECK BEFORE PUBLICATION</v>
          </cell>
          <cell r="E879">
            <v>999999</v>
          </cell>
        </row>
        <row r="880">
          <cell r="A880">
            <v>700522</v>
          </cell>
          <cell r="B880" t="str">
            <v>Hyg Action Clean Con</v>
          </cell>
          <cell r="C880" t="str">
            <v>MISCLASSIFIED? CHECK BEFORE PUBLICATION</v>
          </cell>
          <cell r="D880" t="str">
            <v>MISCLASSIFIED? CHECK BEFORE PUBLICATION</v>
          </cell>
          <cell r="E880">
            <v>999999</v>
          </cell>
        </row>
        <row r="881">
          <cell r="A881">
            <v>700523</v>
          </cell>
          <cell r="B881" t="str">
            <v>Hyg Action Clean 1of</v>
          </cell>
          <cell r="C881" t="str">
            <v>MISCLASSIFIED? CHECK BEFORE PUBLICATION</v>
          </cell>
          <cell r="D881" t="str">
            <v>MISCLASSIFIED? CHECK BEFORE PUBLICATION</v>
          </cell>
          <cell r="E881">
            <v>999999</v>
          </cell>
        </row>
        <row r="882">
          <cell r="A882">
            <v>700524</v>
          </cell>
          <cell r="B882" t="str">
            <v>Hyg Action Grafitti</v>
          </cell>
          <cell r="C882" t="str">
            <v>MISCLASSIFIED? CHECK BEFORE PUBLICATION</v>
          </cell>
          <cell r="D882" t="str">
            <v>MISCLASSIFIED? CHECK BEFORE PUBLICATION</v>
          </cell>
          <cell r="E882">
            <v>999999</v>
          </cell>
        </row>
        <row r="883">
          <cell r="A883">
            <v>700525</v>
          </cell>
          <cell r="B883" t="str">
            <v>Pest C-Non Cont Comm</v>
          </cell>
          <cell r="C883" t="str">
            <v>MISCLASSIFIED? CHECK BEFORE PUBLICATION</v>
          </cell>
          <cell r="D883" t="str">
            <v>MISCLASSIFIED? CHECK BEFORE PUBLICATION</v>
          </cell>
          <cell r="E883">
            <v>999999</v>
          </cell>
        </row>
        <row r="884">
          <cell r="A884">
            <v>700540</v>
          </cell>
          <cell r="B884" t="str">
            <v>Refuse Remvl-Domesti</v>
          </cell>
          <cell r="C884" t="str">
            <v>MISCLASSIFIED? CHECK BEFORE PUBLICATION</v>
          </cell>
          <cell r="D884" t="str">
            <v>MISCLASSIFIED? CHECK BEFORE PUBLICATION</v>
          </cell>
          <cell r="E884">
            <v>999999</v>
          </cell>
        </row>
        <row r="885">
          <cell r="A885">
            <v>700541</v>
          </cell>
          <cell r="B885" t="str">
            <v>Refuse Removal-Trade</v>
          </cell>
          <cell r="C885" t="str">
            <v>MISCLASSIFIED? CHECK BEFORE PUBLICATION</v>
          </cell>
          <cell r="D885" t="str">
            <v>MISCLASSIFIED? CHECK BEFORE PUBLICATION</v>
          </cell>
          <cell r="E885">
            <v>999999</v>
          </cell>
        </row>
        <row r="886">
          <cell r="A886">
            <v>700542</v>
          </cell>
          <cell r="B886" t="str">
            <v>Waste -Bulky Househo</v>
          </cell>
          <cell r="C886" t="str">
            <v>MISCLASSIFIED? CHECK BEFORE PUBLICATION</v>
          </cell>
          <cell r="D886" t="str">
            <v>MISCLASSIFIED? CHECK BEFORE PUBLICATION</v>
          </cell>
          <cell r="E886">
            <v>999999</v>
          </cell>
        </row>
        <row r="887">
          <cell r="A887">
            <v>700543</v>
          </cell>
          <cell r="B887" t="str">
            <v>Waste -Commercial</v>
          </cell>
          <cell r="C887" t="str">
            <v>MISCLASSIFIED? CHECK BEFORE PUBLICATION</v>
          </cell>
          <cell r="D887" t="str">
            <v>MISCLASSIFIED? CHECK BEFORE PUBLICATION</v>
          </cell>
          <cell r="E887">
            <v>999999</v>
          </cell>
        </row>
        <row r="888">
          <cell r="A888">
            <v>700544</v>
          </cell>
          <cell r="B888" t="str">
            <v>Waste -Contaminated</v>
          </cell>
          <cell r="C888" t="str">
            <v>MISCLASSIFIED? CHECK BEFORE PUBLICATION</v>
          </cell>
          <cell r="D888" t="str">
            <v>MISCLASSIFIED? CHECK BEFORE PUBLICATION</v>
          </cell>
          <cell r="E888">
            <v>999999</v>
          </cell>
        </row>
        <row r="889">
          <cell r="A889">
            <v>700545</v>
          </cell>
          <cell r="B889" t="str">
            <v>Waste - Clinical</v>
          </cell>
          <cell r="C889" t="str">
            <v>MISCLASSIFIED? CHECK BEFORE PUBLICATION</v>
          </cell>
          <cell r="D889" t="str">
            <v>MISCLASSIFIED? CHECK BEFORE PUBLICATION</v>
          </cell>
          <cell r="E889">
            <v>999999</v>
          </cell>
        </row>
        <row r="890">
          <cell r="A890">
            <v>700546</v>
          </cell>
          <cell r="B890" t="str">
            <v>Waste - Industrial</v>
          </cell>
          <cell r="C890" t="str">
            <v>MISCLASSIFIED? CHECK BEFORE PUBLICATION</v>
          </cell>
          <cell r="D890" t="str">
            <v>MISCLASSIFIED? CHECK BEFORE PUBLICATION</v>
          </cell>
          <cell r="E890">
            <v>999999</v>
          </cell>
        </row>
        <row r="891">
          <cell r="A891">
            <v>700547</v>
          </cell>
          <cell r="B891" t="str">
            <v>Waste - Recycling</v>
          </cell>
          <cell r="C891" t="str">
            <v>MISCLASSIFIED? CHECK BEFORE PUBLICATION</v>
          </cell>
          <cell r="D891" t="str">
            <v>MISCLASSIFIED? CHECK BEFORE PUBLICATION</v>
          </cell>
          <cell r="E891">
            <v>999999</v>
          </cell>
        </row>
        <row r="892">
          <cell r="A892">
            <v>700548</v>
          </cell>
          <cell r="B892" t="str">
            <v>Waste - Containers</v>
          </cell>
          <cell r="C892" t="str">
            <v>MISCLASSIFIED? CHECK BEFORE PUBLICATION</v>
          </cell>
          <cell r="D892" t="str">
            <v>MISCLASSIFIED? CHECK BEFORE PUBLICATION</v>
          </cell>
          <cell r="E892">
            <v>999999</v>
          </cell>
        </row>
        <row r="893">
          <cell r="A893">
            <v>700549</v>
          </cell>
          <cell r="B893" t="str">
            <v>RHI Income</v>
          </cell>
          <cell r="C893" t="str">
            <v>MISCLASSIFIED? CHECK BEFORE PUBLICATION</v>
          </cell>
          <cell r="D893" t="str">
            <v>MISCLASSIFIED? CHECK BEFORE PUBLICATION</v>
          </cell>
          <cell r="E893">
            <v>999999</v>
          </cell>
        </row>
        <row r="894">
          <cell r="A894">
            <v>700600</v>
          </cell>
          <cell r="B894" t="str">
            <v>Advertising Income</v>
          </cell>
          <cell r="C894" t="str">
            <v>MISCLASSIFIED? CHECK BEFORE PUBLICATION</v>
          </cell>
          <cell r="D894" t="str">
            <v>MISCLASSIFIED? CHECK BEFORE PUBLICATION</v>
          </cell>
          <cell r="E894">
            <v>999999</v>
          </cell>
        </row>
        <row r="895">
          <cell r="A895">
            <v>700601</v>
          </cell>
          <cell r="B895" t="str">
            <v>Bailiffs Costs</v>
          </cell>
          <cell r="C895" t="str">
            <v>MISCLASSIFIED? CHECK BEFORE PUBLICATION</v>
          </cell>
          <cell r="D895" t="str">
            <v>MISCLASSIFIED? CHECK BEFORE PUBLICATION</v>
          </cell>
          <cell r="E895">
            <v>999999</v>
          </cell>
        </row>
        <row r="896">
          <cell r="A896">
            <v>700602</v>
          </cell>
          <cell r="B896" t="str">
            <v>Building Reg Fees</v>
          </cell>
          <cell r="C896" t="str">
            <v>MISCLASSIFIED? CHECK BEFORE PUBLICATION</v>
          </cell>
          <cell r="D896" t="str">
            <v>MISCLASSIFIED? CHECK BEFORE PUBLICATION</v>
          </cell>
          <cell r="E896">
            <v>999999</v>
          </cell>
        </row>
        <row r="897">
          <cell r="A897">
            <v>700603</v>
          </cell>
          <cell r="B897" t="str">
            <v>Commuted Sums</v>
          </cell>
          <cell r="C897" t="str">
            <v>MISCLASSIFIED? CHECK BEFORE PUBLICATION</v>
          </cell>
          <cell r="D897" t="str">
            <v>MISCLASSIFIED? CHECK BEFORE PUBLICATION</v>
          </cell>
          <cell r="E897">
            <v>999999</v>
          </cell>
        </row>
        <row r="898">
          <cell r="A898">
            <v>700604</v>
          </cell>
          <cell r="B898" t="str">
            <v>Consultancy Fees</v>
          </cell>
          <cell r="C898" t="str">
            <v>MISCLASSIFIED? CHECK BEFORE PUBLICATION</v>
          </cell>
          <cell r="D898" t="str">
            <v>MISCLASSIFIED? CHECK BEFORE PUBLICATION</v>
          </cell>
          <cell r="E898">
            <v>999999</v>
          </cell>
        </row>
        <row r="899">
          <cell r="A899">
            <v>700605</v>
          </cell>
          <cell r="B899" t="str">
            <v>Court Fees</v>
          </cell>
          <cell r="C899" t="str">
            <v>MISCLASSIFIED? CHECK BEFORE PUBLICATION</v>
          </cell>
          <cell r="D899" t="str">
            <v>MISCLASSIFIED? CHECK BEFORE PUBLICATION</v>
          </cell>
          <cell r="E899">
            <v>999999</v>
          </cell>
        </row>
        <row r="900">
          <cell r="A900">
            <v>700606</v>
          </cell>
          <cell r="B900" t="str">
            <v>Enquiry Fees</v>
          </cell>
          <cell r="C900" t="str">
            <v>MISCLASSIFIED? CHECK BEFORE PUBLICATION</v>
          </cell>
          <cell r="D900" t="str">
            <v>MISCLASSIFIED? CHECK BEFORE PUBLICATION</v>
          </cell>
          <cell r="E900">
            <v>999999</v>
          </cell>
        </row>
        <row r="901">
          <cell r="A901">
            <v>700607</v>
          </cell>
          <cell r="B901" t="str">
            <v>Planning Application</v>
          </cell>
          <cell r="C901" t="str">
            <v>MISCLASSIFIED? CHECK BEFORE PUBLICATION</v>
          </cell>
          <cell r="D901" t="str">
            <v>MISCLASSIFIED? CHECK BEFORE PUBLICATION</v>
          </cell>
          <cell r="E901">
            <v>999999</v>
          </cell>
        </row>
        <row r="902">
          <cell r="A902">
            <v>700608</v>
          </cell>
          <cell r="B902" t="str">
            <v>Admn/Entry Fee (VAT)</v>
          </cell>
          <cell r="C902" t="str">
            <v>MISCLASSIFIED? CHECK BEFORE PUBLICATION</v>
          </cell>
          <cell r="D902" t="str">
            <v>MISCLASSIFIED? CHECK BEFORE PUBLICATION</v>
          </cell>
          <cell r="E902">
            <v>999999</v>
          </cell>
        </row>
        <row r="903">
          <cell r="A903">
            <v>700609</v>
          </cell>
          <cell r="B903" t="str">
            <v>Fees General</v>
          </cell>
          <cell r="C903" t="str">
            <v>MISCLASSIFIED? CHECK BEFORE PUBLICATION</v>
          </cell>
          <cell r="D903" t="str">
            <v>MISCLASSIFIED? CHECK BEFORE PUBLICATION</v>
          </cell>
          <cell r="E903">
            <v>999999</v>
          </cell>
        </row>
        <row r="904">
          <cell r="A904">
            <v>700610</v>
          </cell>
          <cell r="B904" t="str">
            <v>Inspection Fee</v>
          </cell>
          <cell r="C904" t="str">
            <v>MISCLASSIFIED? CHECK BEFORE PUBLICATION</v>
          </cell>
          <cell r="D904" t="str">
            <v>MISCLASSIFIED? CHECK BEFORE PUBLICATION</v>
          </cell>
          <cell r="E904">
            <v>999999</v>
          </cell>
        </row>
        <row r="905">
          <cell r="A905">
            <v>700611</v>
          </cell>
          <cell r="B905" t="str">
            <v>Fines General</v>
          </cell>
          <cell r="C905" t="str">
            <v>MISCLASSIFIED? CHECK BEFORE PUBLICATION</v>
          </cell>
          <cell r="D905" t="str">
            <v>MISCLASSIFIED? CHECK BEFORE PUBLICATION</v>
          </cell>
          <cell r="E905">
            <v>999999</v>
          </cell>
        </row>
        <row r="906">
          <cell r="A906">
            <v>700612</v>
          </cell>
          <cell r="B906" t="str">
            <v>Administration Fee</v>
          </cell>
          <cell r="C906" t="str">
            <v>MISCLASSIFIED? CHECK BEFORE PUBLICATION</v>
          </cell>
          <cell r="D906" t="str">
            <v>MISCLASSIFIED? CHECK BEFORE PUBLICATION</v>
          </cell>
          <cell r="E906">
            <v>999999</v>
          </cell>
        </row>
        <row r="907">
          <cell r="A907">
            <v>700613</v>
          </cell>
          <cell r="B907" t="str">
            <v>Admn/Entry Fee (NV)</v>
          </cell>
          <cell r="C907" t="str">
            <v>MISCLASSIFIED? CHECK BEFORE PUBLICATION</v>
          </cell>
          <cell r="D907" t="str">
            <v>MISCLASSIFIED? CHECK BEFORE PUBLICATION</v>
          </cell>
          <cell r="E907">
            <v>999999</v>
          </cell>
        </row>
        <row r="908">
          <cell r="A908">
            <v>700614</v>
          </cell>
          <cell r="B908" t="str">
            <v>Application Fee</v>
          </cell>
          <cell r="C908" t="str">
            <v>MISCLASSIFIED? CHECK BEFORE PUBLICATION</v>
          </cell>
          <cell r="D908" t="str">
            <v>MISCLASSIFIED? CHECK BEFORE PUBLICATION</v>
          </cell>
          <cell r="E908">
            <v>999999</v>
          </cell>
        </row>
        <row r="909">
          <cell r="A909">
            <v>700615</v>
          </cell>
          <cell r="B909" t="str">
            <v>Capitalised salaries</v>
          </cell>
          <cell r="C909" t="str">
            <v>MISCLASSIFIED? CHECK BEFORE PUBLICATION</v>
          </cell>
          <cell r="D909" t="str">
            <v>MISCLASSIFIED? CHECK BEFORE PUBLICATION</v>
          </cell>
          <cell r="E909">
            <v>999999</v>
          </cell>
        </row>
        <row r="910">
          <cell r="A910">
            <v>700616</v>
          </cell>
          <cell r="B910" t="str">
            <v>Capitalised repairs</v>
          </cell>
          <cell r="C910" t="str">
            <v>MISCLASSIFIED? CHECK BEFORE PUBLICATION</v>
          </cell>
          <cell r="D910" t="str">
            <v>MISCLASSIFIED? CHECK BEFORE PUBLICATION</v>
          </cell>
          <cell r="E910">
            <v>999999</v>
          </cell>
        </row>
        <row r="911">
          <cell r="A911">
            <v>700617</v>
          </cell>
          <cell r="B911" t="str">
            <v>Certificates</v>
          </cell>
          <cell r="C911" t="str">
            <v>MISCLASSIFIED? CHECK BEFORE PUBLICATION</v>
          </cell>
          <cell r="D911" t="str">
            <v>MISCLASSIFIED? CHECK BEFORE PUBLICATION</v>
          </cell>
          <cell r="E911">
            <v>999999</v>
          </cell>
        </row>
        <row r="912">
          <cell r="A912">
            <v>700618</v>
          </cell>
          <cell r="B912" t="str">
            <v>Notice of Marriage/C</v>
          </cell>
          <cell r="C912" t="str">
            <v>MISCLASSIFIED? CHECK BEFORE PUBLICATION</v>
          </cell>
          <cell r="D912" t="str">
            <v>MISCLASSIFIED? CHECK BEFORE PUBLICATION</v>
          </cell>
          <cell r="E912">
            <v>999999</v>
          </cell>
        </row>
        <row r="913">
          <cell r="A913">
            <v>700800</v>
          </cell>
          <cell r="B913" t="str">
            <v>Class Fees Non Sch 2</v>
          </cell>
          <cell r="C913" t="str">
            <v>MISCLASSIFIED? CHECK BEFORE PUBLICATION</v>
          </cell>
          <cell r="D913" t="str">
            <v>MISCLASSIFIED? CHECK BEFORE PUBLICATION</v>
          </cell>
          <cell r="E913">
            <v>999999</v>
          </cell>
        </row>
        <row r="914">
          <cell r="A914">
            <v>700801</v>
          </cell>
          <cell r="B914" t="str">
            <v>Class Fees Schedule</v>
          </cell>
          <cell r="C914" t="str">
            <v>MISCLASSIFIED? CHECK BEFORE PUBLICATION</v>
          </cell>
          <cell r="D914" t="str">
            <v>MISCLASSIFIED? CHECK BEFORE PUBLICATION</v>
          </cell>
          <cell r="E914">
            <v>999999</v>
          </cell>
        </row>
        <row r="915">
          <cell r="A915">
            <v>700802</v>
          </cell>
          <cell r="B915" t="str">
            <v>Examination Fees</v>
          </cell>
          <cell r="C915" t="str">
            <v>MISCLASSIFIED? CHECK BEFORE PUBLICATION</v>
          </cell>
          <cell r="D915" t="str">
            <v>MISCLASSIFIED? CHECK BEFORE PUBLICATION</v>
          </cell>
          <cell r="E915">
            <v>999999</v>
          </cell>
        </row>
        <row r="916">
          <cell r="A916">
            <v>700803</v>
          </cell>
          <cell r="B916" t="str">
            <v>Coaching/Training Fe</v>
          </cell>
          <cell r="C916" t="str">
            <v>MISCLASSIFIED? CHECK BEFORE PUBLICATION</v>
          </cell>
          <cell r="D916" t="str">
            <v>MISCLASSIFIED? CHECK BEFORE PUBLICATION</v>
          </cell>
          <cell r="E916">
            <v>999999</v>
          </cell>
        </row>
        <row r="917">
          <cell r="A917">
            <v>700804</v>
          </cell>
          <cell r="B917" t="str">
            <v>Course Fees</v>
          </cell>
          <cell r="C917" t="str">
            <v>MISCLASSIFIED? CHECK BEFORE PUBLICATION</v>
          </cell>
          <cell r="D917" t="str">
            <v>MISCLASSIFIED? CHECK BEFORE PUBLICATION</v>
          </cell>
          <cell r="E917">
            <v>999999</v>
          </cell>
        </row>
        <row r="918">
          <cell r="A918">
            <v>700805</v>
          </cell>
          <cell r="B918" t="str">
            <v>Charges - Acadamies</v>
          </cell>
          <cell r="C918" t="str">
            <v>MISCLASSIFIED? CHECK BEFORE PUBLICATION</v>
          </cell>
          <cell r="D918" t="str">
            <v>MISCLASSIFIED? CHECK BEFORE PUBLICATION</v>
          </cell>
          <cell r="E918">
            <v>999999</v>
          </cell>
        </row>
        <row r="919">
          <cell r="A919">
            <v>700806</v>
          </cell>
          <cell r="B919" t="str">
            <v>Out Of School Care</v>
          </cell>
          <cell r="C919" t="str">
            <v>MISCLASSIFIED? CHECK BEFORE PUBLICATION</v>
          </cell>
          <cell r="D919" t="str">
            <v>MISCLASSIFIED? CHECK BEFORE PUBLICATION</v>
          </cell>
          <cell r="E919">
            <v>999999</v>
          </cell>
        </row>
        <row r="920">
          <cell r="A920">
            <v>700808</v>
          </cell>
          <cell r="B920" t="str">
            <v>Commission</v>
          </cell>
          <cell r="C920" t="str">
            <v>MISCLASSIFIED? CHECK BEFORE PUBLICATION</v>
          </cell>
          <cell r="D920" t="str">
            <v>MISCLASSIFIED? CHECK BEFORE PUBLICATION</v>
          </cell>
          <cell r="E920">
            <v>999999</v>
          </cell>
        </row>
        <row r="921">
          <cell r="A921">
            <v>700809</v>
          </cell>
          <cell r="B921" t="str">
            <v>School Ed Visits</v>
          </cell>
          <cell r="C921" t="str">
            <v>MISCLASSIFIED? CHECK BEFORE PUBLICATION</v>
          </cell>
          <cell r="D921" t="str">
            <v>MISCLASSIFIED? CHECK BEFORE PUBLICATION</v>
          </cell>
          <cell r="E921">
            <v>999999</v>
          </cell>
        </row>
        <row r="922">
          <cell r="A922">
            <v>700810</v>
          </cell>
          <cell r="B922" t="str">
            <v>School Donations</v>
          </cell>
          <cell r="C922" t="str">
            <v>MISCLASSIFIED? CHECK BEFORE PUBLICATION</v>
          </cell>
          <cell r="D922" t="str">
            <v>MISCLASSIFIED? CHECK BEFORE PUBLICATION</v>
          </cell>
          <cell r="E922">
            <v>999999</v>
          </cell>
        </row>
        <row r="923">
          <cell r="A923">
            <v>700816</v>
          </cell>
          <cell r="B923" t="str">
            <v>Exceptionallity Sen</v>
          </cell>
          <cell r="C923" t="str">
            <v>MISCLASSIFIED? CHECK BEFORE PUBLICATION</v>
          </cell>
          <cell r="D923" t="str">
            <v>MISCLASSIFIED? CHECK BEFORE PUBLICATION</v>
          </cell>
          <cell r="E923">
            <v>999999</v>
          </cell>
        </row>
        <row r="924">
          <cell r="A924">
            <v>700820</v>
          </cell>
          <cell r="B924" t="str">
            <v>Jury &amp;Magistrate Inc</v>
          </cell>
          <cell r="C924" t="str">
            <v>MISCLASSIFIED? CHECK BEFORE PUBLICATION</v>
          </cell>
          <cell r="D924" t="str">
            <v>MISCLASSIFIED? CHECK BEFORE PUBLICATION</v>
          </cell>
          <cell r="E924">
            <v>999999</v>
          </cell>
        </row>
        <row r="925">
          <cell r="A925">
            <v>700821</v>
          </cell>
          <cell r="B925" t="str">
            <v>Standards Bank Fund</v>
          </cell>
          <cell r="C925" t="str">
            <v>MISCLASSIFIED? CHECK BEFORE PUBLICATION</v>
          </cell>
          <cell r="D925" t="str">
            <v>MISCLASSIFIED? CHECK BEFORE PUBLICATION</v>
          </cell>
          <cell r="E925">
            <v>999999</v>
          </cell>
        </row>
        <row r="926">
          <cell r="A926">
            <v>700822</v>
          </cell>
          <cell r="B926" t="str">
            <v>Building/Content Inc</v>
          </cell>
          <cell r="C926" t="str">
            <v>MISCLASSIFIED? CHECK BEFORE PUBLICATION</v>
          </cell>
          <cell r="D926" t="str">
            <v>MISCLASSIFIED? CHECK BEFORE PUBLICATION</v>
          </cell>
          <cell r="E926">
            <v>999999</v>
          </cell>
        </row>
        <row r="927">
          <cell r="A927">
            <v>700823</v>
          </cell>
          <cell r="B927" t="str">
            <v>Supply Ins-Prem T</v>
          </cell>
          <cell r="C927" t="str">
            <v>MISCLASSIFIED? CHECK BEFORE PUBLICATION</v>
          </cell>
          <cell r="D927" t="str">
            <v>MISCLASSIFIED? CHECK BEFORE PUBLICATION</v>
          </cell>
          <cell r="E927">
            <v>999999</v>
          </cell>
        </row>
        <row r="928">
          <cell r="A928">
            <v>700824</v>
          </cell>
          <cell r="B928" t="str">
            <v>Supply Ins-Prem Nt</v>
          </cell>
          <cell r="C928" t="str">
            <v>MISCLASSIFIED? CHECK BEFORE PUBLICATION</v>
          </cell>
          <cell r="D928" t="str">
            <v>MISCLASSIFIED? CHECK BEFORE PUBLICATION</v>
          </cell>
          <cell r="E928">
            <v>999999</v>
          </cell>
        </row>
        <row r="929">
          <cell r="A929">
            <v>700825</v>
          </cell>
          <cell r="B929" t="str">
            <v>Energy Refund</v>
          </cell>
          <cell r="C929" t="str">
            <v>MISCLASSIFIED? CHECK BEFORE PUBLICATION</v>
          </cell>
          <cell r="D929" t="str">
            <v>MISCLASSIFIED? CHECK BEFORE PUBLICATION</v>
          </cell>
          <cell r="E929">
            <v>999999</v>
          </cell>
        </row>
        <row r="930">
          <cell r="A930">
            <v>700826</v>
          </cell>
          <cell r="B930" t="str">
            <v>Pupil Exclusion Inco</v>
          </cell>
          <cell r="C930" t="str">
            <v>MISCLASSIFIED? CHECK BEFORE PUBLICATION</v>
          </cell>
          <cell r="D930" t="str">
            <v>MISCLASSIFIED? CHECK BEFORE PUBLICATION</v>
          </cell>
          <cell r="E930">
            <v>999999</v>
          </cell>
        </row>
        <row r="931">
          <cell r="A931">
            <v>700828</v>
          </cell>
          <cell r="B931" t="str">
            <v>Standards Fund</v>
          </cell>
          <cell r="C931" t="str">
            <v>MISCLASSIFIED? CHECK BEFORE PUBLICATION</v>
          </cell>
          <cell r="D931" t="str">
            <v>MISCLASSIFIED? CHECK BEFORE PUBLICATION</v>
          </cell>
          <cell r="E931">
            <v>999999</v>
          </cell>
        </row>
        <row r="932">
          <cell r="A932">
            <v>700830</v>
          </cell>
          <cell r="B932" t="str">
            <v>In Year Budget Alloc</v>
          </cell>
          <cell r="C932" t="str">
            <v>MISCLASSIFIED? CHECK BEFORE PUBLICATION</v>
          </cell>
          <cell r="D932" t="str">
            <v>MISCLASSIFIED? CHECK BEFORE PUBLICATION</v>
          </cell>
          <cell r="E932">
            <v>999999</v>
          </cell>
        </row>
        <row r="933">
          <cell r="A933">
            <v>700831</v>
          </cell>
          <cell r="B933" t="str">
            <v>Top up funding</v>
          </cell>
          <cell r="C933" t="str">
            <v>MISCLASSIFIED? CHECK BEFORE PUBLICATION</v>
          </cell>
          <cell r="D933" t="str">
            <v>MISCLASSIFIED? CHECK BEFORE PUBLICATION</v>
          </cell>
          <cell r="E933">
            <v>999999</v>
          </cell>
        </row>
        <row r="934">
          <cell r="A934">
            <v>700832</v>
          </cell>
          <cell r="B934" t="str">
            <v>Grants to Schools</v>
          </cell>
          <cell r="C934" t="str">
            <v>MISCLASSIFIED? CHECK BEFORE PUBLICATION</v>
          </cell>
          <cell r="D934" t="str">
            <v>MISCLASSIFIED? CHECK BEFORE PUBLICATION</v>
          </cell>
          <cell r="E934">
            <v>999999</v>
          </cell>
        </row>
        <row r="935">
          <cell r="A935">
            <v>700901</v>
          </cell>
          <cell r="B935" t="str">
            <v>Telephone Income</v>
          </cell>
          <cell r="C935" t="str">
            <v>MISCLASSIFIED? CHECK BEFORE PUBLICATION</v>
          </cell>
          <cell r="D935" t="str">
            <v>MISCLASSIFIED? CHECK BEFORE PUBLICATION</v>
          </cell>
          <cell r="E935">
            <v>999999</v>
          </cell>
        </row>
        <row r="936">
          <cell r="A936">
            <v>700902</v>
          </cell>
          <cell r="B936" t="str">
            <v>Resident Maint Charg</v>
          </cell>
          <cell r="C936" t="str">
            <v>MISCLASSIFIED? CHECK BEFORE PUBLICATION</v>
          </cell>
          <cell r="D936" t="str">
            <v>MISCLASSIFIED? CHECK BEFORE PUBLICATION</v>
          </cell>
          <cell r="E936">
            <v>999999</v>
          </cell>
        </row>
        <row r="937">
          <cell r="A937">
            <v>700903</v>
          </cell>
          <cell r="B937" t="str">
            <v>Service Chg-Cleaning</v>
          </cell>
          <cell r="C937" t="str">
            <v>MISCLASSIFIED? CHECK BEFORE PUBLICATION</v>
          </cell>
          <cell r="D937" t="str">
            <v>MISCLASSIFIED? CHECK BEFORE PUBLICATION</v>
          </cell>
          <cell r="E937">
            <v>999999</v>
          </cell>
        </row>
        <row r="938">
          <cell r="A938">
            <v>700904</v>
          </cell>
          <cell r="B938" t="str">
            <v>Service Chg-Communit</v>
          </cell>
          <cell r="C938" t="str">
            <v>MISCLASSIFIED? CHECK BEFORE PUBLICATION</v>
          </cell>
          <cell r="D938" t="str">
            <v>MISCLASSIFIED? CHECK BEFORE PUBLICATION</v>
          </cell>
          <cell r="E938">
            <v>999999</v>
          </cell>
        </row>
        <row r="939">
          <cell r="A939">
            <v>700905</v>
          </cell>
          <cell r="B939" t="str">
            <v>Service Chg- Laundry</v>
          </cell>
          <cell r="C939" t="str">
            <v>MISCLASSIFIED? CHECK BEFORE PUBLICATION</v>
          </cell>
          <cell r="D939" t="str">
            <v>MISCLASSIFIED? CHECK BEFORE PUBLICATION</v>
          </cell>
          <cell r="E939">
            <v>999999</v>
          </cell>
        </row>
        <row r="940">
          <cell r="A940">
            <v>700906</v>
          </cell>
          <cell r="B940" t="str">
            <v>Service Chg- Welfare</v>
          </cell>
          <cell r="C940" t="str">
            <v>MISCLASSIFIED? CHECK BEFORE PUBLICATION</v>
          </cell>
          <cell r="D940" t="str">
            <v>MISCLASSIFIED? CHECK BEFORE PUBLICATION</v>
          </cell>
          <cell r="E940">
            <v>999999</v>
          </cell>
        </row>
        <row r="941">
          <cell r="A941">
            <v>700907</v>
          </cell>
          <cell r="B941" t="str">
            <v>Surveyors Fees</v>
          </cell>
          <cell r="C941" t="str">
            <v>MISCLASSIFIED? CHECK BEFORE PUBLICATION</v>
          </cell>
          <cell r="D941" t="str">
            <v>MISCLASSIFIED? CHECK BEFORE PUBLICATION</v>
          </cell>
          <cell r="E941">
            <v>999999</v>
          </cell>
        </row>
        <row r="942">
          <cell r="A942">
            <v>700910</v>
          </cell>
          <cell r="B942" t="str">
            <v>Utilities Rech-Water</v>
          </cell>
          <cell r="C942" t="str">
            <v>MISCLASSIFIED? CHECK BEFORE PUBLICATION</v>
          </cell>
          <cell r="D942" t="str">
            <v>MISCLASSIFIED? CHECK BEFORE PUBLICATION</v>
          </cell>
          <cell r="E942">
            <v>999999</v>
          </cell>
        </row>
        <row r="943">
          <cell r="A943">
            <v>700911</v>
          </cell>
          <cell r="B943" t="str">
            <v>Utilities Rech-Elec</v>
          </cell>
          <cell r="C943" t="str">
            <v>MISCLASSIFIED? CHECK BEFORE PUBLICATION</v>
          </cell>
          <cell r="D943" t="str">
            <v>MISCLASSIFIED? CHECK BEFORE PUBLICATION</v>
          </cell>
          <cell r="E943">
            <v>999999</v>
          </cell>
        </row>
        <row r="944">
          <cell r="A944">
            <v>700912</v>
          </cell>
          <cell r="B944" t="str">
            <v>Utilities Rech-Gas</v>
          </cell>
          <cell r="C944" t="str">
            <v>MISCLASSIFIED? CHECK BEFORE PUBLICATION</v>
          </cell>
          <cell r="D944" t="str">
            <v>MISCLASSIFIED? CHECK BEFORE PUBLICATION</v>
          </cell>
          <cell r="E944">
            <v>999999</v>
          </cell>
        </row>
        <row r="945">
          <cell r="A945">
            <v>700913</v>
          </cell>
          <cell r="B945" t="str">
            <v>Utilities recharge</v>
          </cell>
          <cell r="C945" t="str">
            <v>MISCLASSIFIED? CHECK BEFORE PUBLICATION</v>
          </cell>
          <cell r="D945" t="str">
            <v>MISCLASSIFIED? CHECK BEFORE PUBLICATION</v>
          </cell>
          <cell r="E945">
            <v>999999</v>
          </cell>
        </row>
        <row r="946">
          <cell r="A946">
            <v>700930</v>
          </cell>
          <cell r="B946" t="str">
            <v>Residential Care</v>
          </cell>
          <cell r="C946" t="str">
            <v>MISCLASSIFIED? CHECK BEFORE PUBLICATION</v>
          </cell>
          <cell r="D946" t="str">
            <v>MISCLASSIFIED? CHECK BEFORE PUBLICATION</v>
          </cell>
          <cell r="E946">
            <v>999999</v>
          </cell>
        </row>
        <row r="947">
          <cell r="A947">
            <v>700931</v>
          </cell>
          <cell r="B947" t="str">
            <v>Nursing Care</v>
          </cell>
          <cell r="C947" t="str">
            <v>MISCLASSIFIED? CHECK BEFORE PUBLICATION</v>
          </cell>
          <cell r="D947" t="str">
            <v>MISCLASSIFIED? CHECK BEFORE PUBLICATION</v>
          </cell>
          <cell r="E947">
            <v>999999</v>
          </cell>
        </row>
        <row r="948">
          <cell r="A948">
            <v>700932</v>
          </cell>
          <cell r="B948" t="str">
            <v>Funded Nursing Care</v>
          </cell>
          <cell r="C948" t="str">
            <v>MISCLASSIFIED? CHECK BEFORE PUBLICATION</v>
          </cell>
          <cell r="D948" t="str">
            <v>MISCLASSIFIED? CHECK BEFORE PUBLICATION</v>
          </cell>
          <cell r="E948">
            <v>999999</v>
          </cell>
        </row>
        <row r="949">
          <cell r="A949">
            <v>700933</v>
          </cell>
          <cell r="B949" t="str">
            <v>Deferred Contributs</v>
          </cell>
          <cell r="C949" t="str">
            <v>MISCLASSIFIED? CHECK BEFORE PUBLICATION</v>
          </cell>
          <cell r="D949" t="str">
            <v>MISCLASSIFIED? CHECK BEFORE PUBLICATION</v>
          </cell>
          <cell r="E949">
            <v>999999</v>
          </cell>
        </row>
        <row r="950">
          <cell r="A950">
            <v>700934</v>
          </cell>
          <cell r="B950" t="str">
            <v>Residentl Care-Full</v>
          </cell>
          <cell r="C950" t="str">
            <v>MISCLASSIFIED? CHECK BEFORE PUBLICATION</v>
          </cell>
          <cell r="D950" t="str">
            <v>MISCLASSIFIED? CHECK BEFORE PUBLICATION</v>
          </cell>
          <cell r="E950">
            <v>999999</v>
          </cell>
        </row>
        <row r="951">
          <cell r="A951">
            <v>700935</v>
          </cell>
          <cell r="B951" t="str">
            <v>Non Residential care</v>
          </cell>
          <cell r="C951" t="str">
            <v>MISCLASSIFIED? CHECK BEFORE PUBLICATION</v>
          </cell>
          <cell r="D951" t="str">
            <v>MISCLASSIFIED? CHECK BEFORE PUBLICATION</v>
          </cell>
          <cell r="E951">
            <v>999999</v>
          </cell>
        </row>
        <row r="952">
          <cell r="A952">
            <v>700936</v>
          </cell>
          <cell r="B952" t="str">
            <v>NursingCare-Full Pay</v>
          </cell>
          <cell r="C952" t="str">
            <v>MISCLASSIFIED? CHECK BEFORE PUBLICATION</v>
          </cell>
          <cell r="D952" t="str">
            <v>MISCLASSIFIED? CHECK BEFORE PUBLICATION</v>
          </cell>
          <cell r="E952">
            <v>999999</v>
          </cell>
        </row>
        <row r="953">
          <cell r="A953">
            <v>700937</v>
          </cell>
          <cell r="B953" t="str">
            <v>Residential - top up</v>
          </cell>
          <cell r="C953" t="str">
            <v>MISCLASSIFIED? CHECK BEFORE PUBLICATION</v>
          </cell>
          <cell r="D953" t="str">
            <v>MISCLASSIFIED? CHECK BEFORE PUBLICATION</v>
          </cell>
          <cell r="E953">
            <v>999999</v>
          </cell>
        </row>
        <row r="954">
          <cell r="A954">
            <v>700938</v>
          </cell>
          <cell r="B954" t="str">
            <v>Non Res Assessed Chg</v>
          </cell>
          <cell r="C954" t="str">
            <v>MISCLASSIFIED? CHECK BEFORE PUBLICATION</v>
          </cell>
          <cell r="D954" t="str">
            <v>MISCLASSIFIED? CHECK BEFORE PUBLICATION</v>
          </cell>
          <cell r="E954">
            <v>999999</v>
          </cell>
        </row>
        <row r="955">
          <cell r="A955">
            <v>700939</v>
          </cell>
          <cell r="B955" t="str">
            <v>Non Res Fixed Chg</v>
          </cell>
          <cell r="C955" t="str">
            <v>MISCLASSIFIED? CHECK BEFORE PUBLICATION</v>
          </cell>
          <cell r="D955" t="str">
            <v>MISCLASSIFIED? CHECK BEFORE PUBLICATION</v>
          </cell>
          <cell r="E955">
            <v>999999</v>
          </cell>
        </row>
        <row r="956">
          <cell r="A956">
            <v>701001</v>
          </cell>
          <cell r="B956" t="str">
            <v>Learn Support-Oleas</v>
          </cell>
          <cell r="C956" t="str">
            <v>MISCLASSIFIED? CHECK BEFORE PUBLICATION</v>
          </cell>
          <cell r="D956" t="str">
            <v>MISCLASSIFIED? CHECK BEFORE PUBLICATION</v>
          </cell>
          <cell r="E956">
            <v>999999</v>
          </cell>
        </row>
        <row r="957">
          <cell r="A957">
            <v>701002</v>
          </cell>
          <cell r="B957" t="str">
            <v>Learn Support-Stockp</v>
          </cell>
          <cell r="C957" t="str">
            <v>MISCLASSIFIED? CHECK BEFORE PUBLICATION</v>
          </cell>
          <cell r="D957" t="str">
            <v>MISCLASSIFIED? CHECK BEFORE PUBLICATION</v>
          </cell>
          <cell r="E957">
            <v>999999</v>
          </cell>
        </row>
        <row r="958">
          <cell r="A958">
            <v>701003</v>
          </cell>
          <cell r="B958" t="str">
            <v>Sch.Meals(Pupils NV)</v>
          </cell>
          <cell r="C958" t="str">
            <v>MISCLASSIFIED? CHECK BEFORE PUBLICATION</v>
          </cell>
          <cell r="D958" t="str">
            <v>MISCLASSIFIED? CHECK BEFORE PUBLICATION</v>
          </cell>
          <cell r="E958">
            <v>999999</v>
          </cell>
        </row>
        <row r="959">
          <cell r="A959">
            <v>701004</v>
          </cell>
          <cell r="B959" t="str">
            <v>Music Income</v>
          </cell>
          <cell r="C959" t="str">
            <v>MISCLASSIFIED? CHECK BEFORE PUBLICATION</v>
          </cell>
          <cell r="D959" t="str">
            <v>MISCLASSIFIED? CHECK BEFORE PUBLICATION</v>
          </cell>
          <cell r="E959">
            <v>999999</v>
          </cell>
        </row>
        <row r="960">
          <cell r="A960">
            <v>701005</v>
          </cell>
          <cell r="B960" t="str">
            <v>Hire of Equipment</v>
          </cell>
          <cell r="C960" t="str">
            <v>MISCLASSIFIED? CHECK BEFORE PUBLICATION</v>
          </cell>
          <cell r="D960" t="str">
            <v>MISCLASSIFIED? CHECK BEFORE PUBLICATION</v>
          </cell>
          <cell r="E960">
            <v>999999</v>
          </cell>
        </row>
        <row r="961">
          <cell r="A961">
            <v>701201</v>
          </cell>
          <cell r="B961" t="str">
            <v>Conveyancing Charges</v>
          </cell>
          <cell r="C961" t="str">
            <v>MISCLASSIFIED? CHECK BEFORE PUBLICATION</v>
          </cell>
          <cell r="D961" t="str">
            <v>MISCLASSIFIED? CHECK BEFORE PUBLICATION</v>
          </cell>
          <cell r="E961">
            <v>999999</v>
          </cell>
        </row>
        <row r="962">
          <cell r="A962">
            <v>701203</v>
          </cell>
          <cell r="B962" t="str">
            <v>Conveyancing- Rtb</v>
          </cell>
          <cell r="C962" t="str">
            <v>MISCLASSIFIED? CHECK BEFORE PUBLICATION</v>
          </cell>
          <cell r="D962" t="str">
            <v>MISCLASSIFIED? CHECK BEFORE PUBLICATION</v>
          </cell>
          <cell r="E962">
            <v>999999</v>
          </cell>
        </row>
        <row r="963">
          <cell r="A963">
            <v>701204</v>
          </cell>
          <cell r="B963" t="str">
            <v>Land Charges Income</v>
          </cell>
          <cell r="C963" t="str">
            <v>MISCLASSIFIED? CHECK BEFORE PUBLICATION</v>
          </cell>
          <cell r="D963" t="str">
            <v>MISCLASSIFIED? CHECK BEFORE PUBLICATION</v>
          </cell>
          <cell r="E963">
            <v>999999</v>
          </cell>
        </row>
        <row r="964">
          <cell r="A964">
            <v>701205</v>
          </cell>
          <cell r="B964" t="str">
            <v>Prosecution Fee</v>
          </cell>
          <cell r="C964" t="str">
            <v>MISCLASSIFIED? CHECK BEFORE PUBLICATION</v>
          </cell>
          <cell r="D964" t="str">
            <v>MISCLASSIFIED? CHECK BEFORE PUBLICATION</v>
          </cell>
          <cell r="E964">
            <v>999999</v>
          </cell>
        </row>
        <row r="965">
          <cell r="A965">
            <v>701206</v>
          </cell>
          <cell r="B965" t="str">
            <v>Civil Litigation Fee</v>
          </cell>
          <cell r="C965" t="str">
            <v>MISCLASSIFIED? CHECK BEFORE PUBLICATION</v>
          </cell>
          <cell r="D965" t="str">
            <v>MISCLASSIFIED? CHECK BEFORE PUBLICATION</v>
          </cell>
          <cell r="E965">
            <v>999999</v>
          </cell>
        </row>
        <row r="966">
          <cell r="A966">
            <v>701208</v>
          </cell>
          <cell r="B966" t="str">
            <v>Court Fees - Ar Debt</v>
          </cell>
          <cell r="C966" t="str">
            <v>MISCLASSIFIED? CHECK BEFORE PUBLICATION</v>
          </cell>
          <cell r="D966" t="str">
            <v>MISCLASSIFIED? CHECK BEFORE PUBLICATION</v>
          </cell>
          <cell r="E966">
            <v>999999</v>
          </cell>
        </row>
        <row r="967">
          <cell r="A967">
            <v>701210</v>
          </cell>
          <cell r="B967" t="str">
            <v>Legal Costs-Ar  Debt</v>
          </cell>
          <cell r="C967" t="str">
            <v>MISCLASSIFIED? CHECK BEFORE PUBLICATION</v>
          </cell>
          <cell r="D967" t="str">
            <v>MISCLASSIFIED? CHECK BEFORE PUBLICATION</v>
          </cell>
          <cell r="E967">
            <v>999999</v>
          </cell>
        </row>
        <row r="968">
          <cell r="A968">
            <v>701211</v>
          </cell>
          <cell r="B968" t="str">
            <v>Proceeds of Crime</v>
          </cell>
          <cell r="C968" t="str">
            <v>MISCLASSIFIED? CHECK BEFORE PUBLICATION</v>
          </cell>
          <cell r="D968" t="str">
            <v>MISCLASSIFIED? CHECK BEFORE PUBLICATION</v>
          </cell>
          <cell r="E968">
            <v>999999</v>
          </cell>
        </row>
        <row r="969">
          <cell r="A969">
            <v>701400</v>
          </cell>
          <cell r="B969" t="str">
            <v>Rents Hra- Voids</v>
          </cell>
          <cell r="C969" t="str">
            <v>MISCLASSIFIED? CHECK BEFORE PUBLICATION</v>
          </cell>
          <cell r="D969" t="str">
            <v>MISCLASSIFIED? CHECK BEFORE PUBLICATION</v>
          </cell>
          <cell r="E969">
            <v>999999</v>
          </cell>
        </row>
        <row r="970">
          <cell r="A970">
            <v>701401</v>
          </cell>
          <cell r="B970" t="str">
            <v>Rents Hra- Dwellings</v>
          </cell>
          <cell r="C970" t="str">
            <v>MISCLASSIFIED? CHECK BEFORE PUBLICATION</v>
          </cell>
          <cell r="D970" t="str">
            <v>MISCLASSIFIED? CHECK BEFORE PUBLICATION</v>
          </cell>
          <cell r="E970">
            <v>999999</v>
          </cell>
        </row>
        <row r="971">
          <cell r="A971">
            <v>701402</v>
          </cell>
          <cell r="B971" t="str">
            <v>Rents Hra-Non Dwelli</v>
          </cell>
          <cell r="C971" t="str">
            <v>MISCLASSIFIED? CHECK BEFORE PUBLICATION</v>
          </cell>
          <cell r="D971" t="str">
            <v>MISCLASSIFIED? CHECK BEFORE PUBLICATION</v>
          </cell>
          <cell r="E971">
            <v>999999</v>
          </cell>
        </row>
        <row r="972">
          <cell r="A972">
            <v>701403</v>
          </cell>
          <cell r="B972" t="str">
            <v>Rents</v>
          </cell>
          <cell r="C972" t="str">
            <v>MISCLASSIFIED? CHECK BEFORE PUBLICATION</v>
          </cell>
          <cell r="D972" t="str">
            <v>MISCLASSIFIED? CHECK BEFORE PUBLICATION</v>
          </cell>
          <cell r="E972">
            <v>999999</v>
          </cell>
        </row>
        <row r="973">
          <cell r="A973">
            <v>701404</v>
          </cell>
          <cell r="B973" t="str">
            <v>Lease Income</v>
          </cell>
          <cell r="C973" t="str">
            <v>MISCLASSIFIED? CHECK BEFORE PUBLICATION</v>
          </cell>
          <cell r="D973" t="str">
            <v>MISCLASSIFIED? CHECK BEFORE PUBLICATION</v>
          </cell>
          <cell r="E973">
            <v>999999</v>
          </cell>
        </row>
        <row r="974">
          <cell r="A974">
            <v>701405</v>
          </cell>
          <cell r="B974" t="str">
            <v>Tithes,Wayleaves Etc</v>
          </cell>
          <cell r="C974" t="str">
            <v>MISCLASSIFIED? CHECK BEFORE PUBLICATION</v>
          </cell>
          <cell r="D974" t="str">
            <v>MISCLASSIFIED? CHECK BEFORE PUBLICATION</v>
          </cell>
          <cell r="E974">
            <v>999999</v>
          </cell>
        </row>
        <row r="975">
          <cell r="A975">
            <v>701406</v>
          </cell>
          <cell r="B975" t="str">
            <v>Hire-Room&amp;Facilities</v>
          </cell>
          <cell r="C975" t="str">
            <v>MISCLASSIFIED? CHECK BEFORE PUBLICATION</v>
          </cell>
          <cell r="D975" t="str">
            <v>MISCLASSIFIED? CHECK BEFORE PUBLICATION</v>
          </cell>
          <cell r="E975">
            <v>999999</v>
          </cell>
        </row>
        <row r="976">
          <cell r="A976">
            <v>701407</v>
          </cell>
          <cell r="B976" t="str">
            <v>Lettings</v>
          </cell>
          <cell r="C976" t="str">
            <v>MISCLASSIFIED? CHECK BEFORE PUBLICATION</v>
          </cell>
          <cell r="D976" t="str">
            <v>MISCLASSIFIED? CHECK BEFORE PUBLICATION</v>
          </cell>
          <cell r="E976">
            <v>999999</v>
          </cell>
        </row>
        <row r="977">
          <cell r="A977">
            <v>701408</v>
          </cell>
          <cell r="B977" t="str">
            <v>Rents Hra-Communal S</v>
          </cell>
          <cell r="C977" t="str">
            <v>MISCLASSIFIED? CHECK BEFORE PUBLICATION</v>
          </cell>
          <cell r="D977" t="str">
            <v>MISCLASSIFIED? CHECK BEFORE PUBLICATION</v>
          </cell>
          <cell r="E977">
            <v>999999</v>
          </cell>
        </row>
        <row r="978">
          <cell r="A978">
            <v>701409</v>
          </cell>
          <cell r="B978" t="str">
            <v>Rents -Chief</v>
          </cell>
          <cell r="C978" t="str">
            <v>MISCLASSIFIED? CHECK BEFORE PUBLICATION</v>
          </cell>
          <cell r="D978" t="str">
            <v>MISCLASSIFIED? CHECK BEFORE PUBLICATION</v>
          </cell>
          <cell r="E978">
            <v>999999</v>
          </cell>
        </row>
        <row r="979">
          <cell r="A979">
            <v>701410</v>
          </cell>
          <cell r="B979" t="str">
            <v>Rents - Ground</v>
          </cell>
          <cell r="C979" t="str">
            <v>MISCLASSIFIED? CHECK BEFORE PUBLICATION</v>
          </cell>
          <cell r="D979" t="str">
            <v>MISCLASSIFIED? CHECK BEFORE PUBLICATION</v>
          </cell>
          <cell r="E979">
            <v>999999</v>
          </cell>
        </row>
        <row r="980">
          <cell r="A980">
            <v>701411</v>
          </cell>
          <cell r="B980" t="str">
            <v>Feed In Tariff-Solar</v>
          </cell>
          <cell r="C980" t="str">
            <v>MISCLASSIFIED? CHECK BEFORE PUBLICATION</v>
          </cell>
          <cell r="D980" t="str">
            <v>MISCLASSIFIED? CHECK BEFORE PUBLICATION</v>
          </cell>
          <cell r="E980">
            <v>999999</v>
          </cell>
        </row>
        <row r="981">
          <cell r="A981">
            <v>701601</v>
          </cell>
          <cell r="B981" t="str">
            <v>Schools Bank Interes</v>
          </cell>
          <cell r="C981" t="str">
            <v>MISCLASSIFIED? CHECK BEFORE PUBLICATION</v>
          </cell>
          <cell r="D981" t="str">
            <v>MISCLASSIFIED? CHECK BEFORE PUBLICATION</v>
          </cell>
          <cell r="E981">
            <v>999999</v>
          </cell>
        </row>
        <row r="982">
          <cell r="A982">
            <v>701602</v>
          </cell>
          <cell r="B982" t="str">
            <v>Hra Not Interest Adj</v>
          </cell>
          <cell r="C982" t="str">
            <v>MISCLASSIFIED? CHECK BEFORE PUBLICATION</v>
          </cell>
          <cell r="D982" t="str">
            <v>MISCLASSIFIED? CHECK BEFORE PUBLICATION</v>
          </cell>
          <cell r="E982">
            <v>999999</v>
          </cell>
        </row>
        <row r="983">
          <cell r="A983">
            <v>701603</v>
          </cell>
          <cell r="B983" t="str">
            <v>Capital Chg-G.Fund C</v>
          </cell>
          <cell r="C983" t="str">
            <v>MISCLASSIFIED? CHECK BEFORE PUBLICATION</v>
          </cell>
          <cell r="D983" t="str">
            <v>MISCLASSIFIED? CHECK BEFORE PUBLICATION</v>
          </cell>
          <cell r="E983">
            <v>999999</v>
          </cell>
        </row>
        <row r="984">
          <cell r="A984">
            <v>701604</v>
          </cell>
          <cell r="B984" t="str">
            <v>Capital Chg-Hra (Cr)</v>
          </cell>
          <cell r="C984" t="str">
            <v>MISCLASSIFIED? CHECK BEFORE PUBLICATION</v>
          </cell>
          <cell r="D984" t="str">
            <v>MISCLASSIFIED? CHECK BEFORE PUBLICATION</v>
          </cell>
          <cell r="E984">
            <v>999999</v>
          </cell>
        </row>
        <row r="985">
          <cell r="A985">
            <v>701605</v>
          </cell>
          <cell r="B985" t="str">
            <v>Grants&amp; Conts Dwd</v>
          </cell>
          <cell r="C985" t="str">
            <v>MISCLASSIFIED? CHECK BEFORE PUBLICATION</v>
          </cell>
          <cell r="D985" t="str">
            <v>MISCLASSIFIED? CHECK BEFORE PUBLICATION</v>
          </cell>
          <cell r="E985">
            <v>999999</v>
          </cell>
        </row>
        <row r="986">
          <cell r="A986">
            <v>701606</v>
          </cell>
          <cell r="B986" t="str">
            <v>Interest&amp; Invmt Inco</v>
          </cell>
          <cell r="C986" t="str">
            <v>MISCLASSIFIED? CHECK BEFORE PUBLICATION</v>
          </cell>
          <cell r="D986" t="str">
            <v>MISCLASSIFIED? CHECK BEFORE PUBLICATION</v>
          </cell>
          <cell r="E986">
            <v>999999</v>
          </cell>
        </row>
        <row r="987">
          <cell r="A987">
            <v>701607</v>
          </cell>
          <cell r="B987" t="str">
            <v>Dividend Income</v>
          </cell>
          <cell r="C987" t="str">
            <v>MISCLASSIFIED? CHECK BEFORE PUBLICATION</v>
          </cell>
          <cell r="D987" t="str">
            <v>MISCLASSIFIED? CHECK BEFORE PUBLICATION</v>
          </cell>
          <cell r="E987">
            <v>999999</v>
          </cell>
        </row>
        <row r="988">
          <cell r="A988">
            <v>701608</v>
          </cell>
          <cell r="B988" t="str">
            <v>Interest Other</v>
          </cell>
          <cell r="C988" t="str">
            <v>MISCLASSIFIED? CHECK BEFORE PUBLICATION</v>
          </cell>
          <cell r="D988" t="str">
            <v>MISCLASSIFIED? CHECK BEFORE PUBLICATION</v>
          </cell>
          <cell r="E988">
            <v>999999</v>
          </cell>
        </row>
        <row r="989">
          <cell r="A989">
            <v>701609</v>
          </cell>
          <cell r="B989" t="str">
            <v>Frs17 Net Pension As</v>
          </cell>
          <cell r="C989" t="str">
            <v>MISCLASSIFIED? CHECK BEFORE PUBLICATION</v>
          </cell>
          <cell r="D989" t="str">
            <v>MISCLASSIFIED? CHECK BEFORE PUBLICATION</v>
          </cell>
          <cell r="E989">
            <v>999999</v>
          </cell>
        </row>
        <row r="990">
          <cell r="A990">
            <v>701610</v>
          </cell>
          <cell r="B990" t="str">
            <v>Interest- Ar Debts</v>
          </cell>
          <cell r="C990" t="str">
            <v>MISCLASSIFIED? CHECK BEFORE PUBLICATION</v>
          </cell>
          <cell r="D990" t="str">
            <v>MISCLASSIFIED? CHECK BEFORE PUBLICATION</v>
          </cell>
          <cell r="E990">
            <v>999999</v>
          </cell>
        </row>
        <row r="991">
          <cell r="A991">
            <v>701801</v>
          </cell>
          <cell r="B991" t="str">
            <v>Leased Car Income</v>
          </cell>
          <cell r="C991" t="str">
            <v>MISCLASSIFIED? CHECK BEFORE PUBLICATION</v>
          </cell>
          <cell r="D991" t="str">
            <v>MISCLASSIFIED? CHECK BEFORE PUBLICATION</v>
          </cell>
          <cell r="E991">
            <v>999999</v>
          </cell>
        </row>
        <row r="992">
          <cell r="A992">
            <v>701802</v>
          </cell>
          <cell r="B992" t="str">
            <v>Interest Employee Lo</v>
          </cell>
          <cell r="C992" t="str">
            <v>MISCLASSIFIED? CHECK BEFORE PUBLICATION</v>
          </cell>
          <cell r="D992" t="str">
            <v>MISCLASSIFIED? CHECK BEFORE PUBLICATION</v>
          </cell>
          <cell r="E992">
            <v>999999</v>
          </cell>
        </row>
        <row r="993">
          <cell r="A993">
            <v>702001</v>
          </cell>
          <cell r="B993" t="str">
            <v>Charges-Housing Rev</v>
          </cell>
          <cell r="C993" t="str">
            <v>MISCLASSIFIED? CHECK BEFORE PUBLICATION</v>
          </cell>
          <cell r="D993" t="str">
            <v>MISCLASSIFIED? CHECK BEFORE PUBLICATION</v>
          </cell>
          <cell r="E993">
            <v>999999</v>
          </cell>
        </row>
        <row r="994">
          <cell r="A994">
            <v>702002</v>
          </cell>
          <cell r="B994" t="str">
            <v>Charges-Other Gf Ac</v>
          </cell>
          <cell r="C994" t="str">
            <v>MISCLASSIFIED? CHECK BEFORE PUBLICATION</v>
          </cell>
          <cell r="D994" t="str">
            <v>MISCLASSIFIED? CHECK BEFORE PUBLICATION</v>
          </cell>
          <cell r="E994">
            <v>999999</v>
          </cell>
        </row>
        <row r="995">
          <cell r="A995">
            <v>702003</v>
          </cell>
          <cell r="B995" t="str">
            <v>Charges-Schools</v>
          </cell>
          <cell r="C995" t="str">
            <v>MISCLASSIFIED? CHECK BEFORE PUBLICATION</v>
          </cell>
          <cell r="D995" t="str">
            <v>MISCLASSIFIED? CHECK BEFORE PUBLICATION</v>
          </cell>
          <cell r="E995">
            <v>999999</v>
          </cell>
        </row>
        <row r="996">
          <cell r="A996">
            <v>702004</v>
          </cell>
          <cell r="B996" t="str">
            <v>Charges-Intra Direct</v>
          </cell>
          <cell r="C996" t="str">
            <v>MISCLASSIFIED? CHECK BEFORE PUBLICATION</v>
          </cell>
          <cell r="D996" t="str">
            <v>MISCLASSIFIED? CHECK BEFORE PUBLICATION</v>
          </cell>
          <cell r="E996">
            <v>999999</v>
          </cell>
        </row>
        <row r="997">
          <cell r="A997">
            <v>702005</v>
          </cell>
          <cell r="B997" t="str">
            <v>*deleted</v>
          </cell>
          <cell r="C997" t="str">
            <v>MISCLASSIFIED? CHECK BEFORE PUBLICATION</v>
          </cell>
          <cell r="D997" t="str">
            <v>MISCLASSIFIED? CHECK BEFORE PUBLICATION</v>
          </cell>
          <cell r="E997">
            <v>999999</v>
          </cell>
        </row>
        <row r="998">
          <cell r="A998">
            <v>702006</v>
          </cell>
          <cell r="B998" t="str">
            <v>Bureau Admin Income</v>
          </cell>
          <cell r="C998" t="str">
            <v>MISCLASSIFIED? CHECK BEFORE PUBLICATION</v>
          </cell>
          <cell r="D998" t="str">
            <v>MISCLASSIFIED? CHECK BEFORE PUBLICATION</v>
          </cell>
          <cell r="E998">
            <v>999999</v>
          </cell>
        </row>
        <row r="999">
          <cell r="A999">
            <v>702007</v>
          </cell>
          <cell r="B999" t="str">
            <v>Charges -Stockport.H</v>
          </cell>
          <cell r="C999" t="str">
            <v>MISCLASSIFIED? CHECK BEFORE PUBLICATION</v>
          </cell>
          <cell r="D999" t="str">
            <v>MISCLASSIFIED? CHECK BEFORE PUBLICATION</v>
          </cell>
          <cell r="E999">
            <v>999999</v>
          </cell>
        </row>
        <row r="1000">
          <cell r="A1000">
            <v>702008</v>
          </cell>
          <cell r="B1000" t="str">
            <v>Charges-SSK</v>
          </cell>
          <cell r="C1000" t="str">
            <v>MISCLASSIFIED? CHECK BEFORE PUBLICATION</v>
          </cell>
          <cell r="D1000" t="str">
            <v>MISCLASSIFIED? CHECK BEFORE PUBLICATION</v>
          </cell>
          <cell r="E1000">
            <v>999999</v>
          </cell>
        </row>
        <row r="1001">
          <cell r="A1001">
            <v>702009</v>
          </cell>
          <cell r="B1001" t="str">
            <v>Charges-Capital Prud</v>
          </cell>
          <cell r="C1001" t="str">
            <v>MISCLASSIFIED? CHECK BEFORE PUBLICATION</v>
          </cell>
          <cell r="D1001" t="str">
            <v>MISCLASSIFIED? CHECK BEFORE PUBLICATION</v>
          </cell>
          <cell r="E1001">
            <v>999999</v>
          </cell>
        </row>
        <row r="1002">
          <cell r="A1002">
            <v>702010</v>
          </cell>
          <cell r="B1002" t="str">
            <v>Charges -SMBC</v>
          </cell>
          <cell r="C1002" t="str">
            <v>MISCLASSIFIED? CHECK BEFORE PUBLICATION</v>
          </cell>
          <cell r="D1002" t="str">
            <v>MISCLASSIFIED? CHECK BEFORE PUBLICATION</v>
          </cell>
          <cell r="E1002">
            <v>999999</v>
          </cell>
        </row>
        <row r="1003">
          <cell r="A1003">
            <v>702011</v>
          </cell>
          <cell r="B1003" t="str">
            <v>Charges-SHL(SLA Inc)</v>
          </cell>
          <cell r="C1003" t="str">
            <v>MISCLASSIFIED? CHECK BEFORE PUBLICATION</v>
          </cell>
          <cell r="D1003" t="str">
            <v>MISCLASSIFIED? CHECK BEFORE PUBLICATION</v>
          </cell>
          <cell r="E1003">
            <v>999999</v>
          </cell>
        </row>
        <row r="1004">
          <cell r="A1004">
            <v>702012</v>
          </cell>
          <cell r="B1004" t="str">
            <v>Charges-SSK(SLA Inc)</v>
          </cell>
          <cell r="C1004" t="str">
            <v>MISCLASSIFIED? CHECK BEFORE PUBLICATION</v>
          </cell>
          <cell r="D1004" t="str">
            <v>MISCLASSIFIED? CHECK BEFORE PUBLICATION</v>
          </cell>
          <cell r="E1004">
            <v>999999</v>
          </cell>
        </row>
        <row r="1005">
          <cell r="A1005">
            <v>702013</v>
          </cell>
          <cell r="B1005" t="str">
            <v>Charges-iSSK</v>
          </cell>
          <cell r="C1005" t="str">
            <v>MISCLASSIFIED? CHECK BEFORE PUBLICATION</v>
          </cell>
          <cell r="D1005" t="str">
            <v>MISCLASSIFIED? CHECK BEFORE PUBLICATION</v>
          </cell>
          <cell r="E1005">
            <v>999999</v>
          </cell>
        </row>
        <row r="1006">
          <cell r="A1006">
            <v>702014</v>
          </cell>
          <cell r="B1006" t="str">
            <v>Charges-iSSK (SLA)</v>
          </cell>
          <cell r="C1006" t="str">
            <v>MISCLASSIFIED? CHECK BEFORE PUBLICATION</v>
          </cell>
          <cell r="D1006" t="str">
            <v>MISCLASSIFIED? CHECK BEFORE PUBLICATION</v>
          </cell>
          <cell r="E1006">
            <v>999999</v>
          </cell>
        </row>
        <row r="1007">
          <cell r="A1007">
            <v>702015</v>
          </cell>
          <cell r="B1007" t="str">
            <v>SMBC</v>
          </cell>
          <cell r="C1007" t="str">
            <v>MISCLASSIFIED? CHECK BEFORE PUBLICATION</v>
          </cell>
          <cell r="D1007" t="str">
            <v>MISCLASSIFIED? CHECK BEFORE PUBLICATION</v>
          </cell>
          <cell r="E1007">
            <v>999999</v>
          </cell>
        </row>
        <row r="1008">
          <cell r="A1008">
            <v>702016</v>
          </cell>
          <cell r="B1008" t="str">
            <v>Group Companies</v>
          </cell>
          <cell r="C1008" t="str">
            <v>MISCLASSIFIED? CHECK BEFORE PUBLICATION</v>
          </cell>
          <cell r="D1008" t="str">
            <v>MISCLASSIFIED? CHECK BEFORE PUBLICATION</v>
          </cell>
          <cell r="E1008">
            <v>999999</v>
          </cell>
        </row>
        <row r="1009">
          <cell r="A1009">
            <v>702017</v>
          </cell>
          <cell r="B1009" t="str">
            <v>External</v>
          </cell>
          <cell r="C1009" t="str">
            <v>MISCLASSIFIED? CHECK BEFORE PUBLICATION</v>
          </cell>
          <cell r="D1009" t="str">
            <v>MISCLASSIFIED? CHECK BEFORE PUBLICATION</v>
          </cell>
          <cell r="E1009">
            <v>999999</v>
          </cell>
        </row>
        <row r="1010">
          <cell r="A1010">
            <v>702018</v>
          </cell>
          <cell r="B1010" t="str">
            <v>Internal</v>
          </cell>
          <cell r="C1010" t="str">
            <v>MISCLASSIFIED? CHECK BEFORE PUBLICATION</v>
          </cell>
          <cell r="D1010" t="str">
            <v>MISCLASSIFIED? CHECK BEFORE PUBLICATION</v>
          </cell>
          <cell r="E1010">
            <v>999999</v>
          </cell>
        </row>
        <row r="1011">
          <cell r="A1011">
            <v>702019</v>
          </cell>
          <cell r="B1011" t="str">
            <v>Income Adjustment</v>
          </cell>
          <cell r="C1011" t="str">
            <v>MISCLASSIFIED? CHECK BEFORE PUBLICATION</v>
          </cell>
          <cell r="D1011" t="str">
            <v>MISCLASSIFIED? CHECK BEFORE PUBLICATION</v>
          </cell>
          <cell r="E1011">
            <v>999999</v>
          </cell>
        </row>
        <row r="1012">
          <cell r="A1012">
            <v>702020</v>
          </cell>
          <cell r="B1012" t="str">
            <v>Posting Control</v>
          </cell>
          <cell r="C1012" t="str">
            <v>MISCLASSIFIED? CHECK BEFORE PUBLICATION</v>
          </cell>
          <cell r="D1012" t="str">
            <v>MISCLASSIFIED? CHECK BEFORE PUBLICATION</v>
          </cell>
          <cell r="E1012">
            <v>999999</v>
          </cell>
        </row>
        <row r="1013">
          <cell r="A1013">
            <v>702200</v>
          </cell>
          <cell r="B1013" t="str">
            <v>Under/Over Banking</v>
          </cell>
          <cell r="C1013" t="str">
            <v>MISCLASSIFIED? CHECK BEFORE PUBLICATION</v>
          </cell>
          <cell r="D1013" t="str">
            <v>MISCLASSIFIED? CHECK BEFORE PUBLICATION</v>
          </cell>
          <cell r="E1013">
            <v>999999</v>
          </cell>
        </row>
        <row r="1014">
          <cell r="A1014">
            <v>702201</v>
          </cell>
          <cell r="B1014" t="str">
            <v>Redn Of Bad Debt Pro</v>
          </cell>
          <cell r="C1014" t="str">
            <v>MISCLASSIFIED? CHECK BEFORE PUBLICATION</v>
          </cell>
          <cell r="D1014" t="str">
            <v>MISCLASSIFIED? CHECK BEFORE PUBLICATION</v>
          </cell>
          <cell r="E1014">
            <v>999999</v>
          </cell>
        </row>
        <row r="1015">
          <cell r="A1015">
            <v>702202</v>
          </cell>
          <cell r="B1015" t="str">
            <v>Deminimus Cap Receip</v>
          </cell>
          <cell r="C1015" t="str">
            <v>MISCLASSIFIED? CHECK BEFORE PUBLICATION</v>
          </cell>
          <cell r="D1015" t="str">
            <v>MISCLASSIFIED? CHECK BEFORE PUBLICATION</v>
          </cell>
          <cell r="E1015">
            <v>999999</v>
          </cell>
        </row>
        <row r="1016">
          <cell r="A1016">
            <v>703001</v>
          </cell>
          <cell r="B1016" t="str">
            <v>SMBC Income</v>
          </cell>
          <cell r="C1016" t="str">
            <v>MISCLASSIFIED? CHECK BEFORE PUBLICATION</v>
          </cell>
          <cell r="D1016" t="str">
            <v>MISCLASSIFIED? CHECK BEFORE PUBLICATION</v>
          </cell>
          <cell r="E1016">
            <v>999999</v>
          </cell>
        </row>
        <row r="1017">
          <cell r="A1017">
            <v>703002</v>
          </cell>
          <cell r="B1017" t="str">
            <v>Other LA Income</v>
          </cell>
          <cell r="C1017" t="str">
            <v>MISCLASSIFIED? CHECK BEFORE PUBLICATION</v>
          </cell>
          <cell r="D1017" t="str">
            <v>MISCLASSIFIED? CHECK BEFORE PUBLICATION</v>
          </cell>
          <cell r="E1017">
            <v>999999</v>
          </cell>
        </row>
        <row r="1018">
          <cell r="A1018">
            <v>703010</v>
          </cell>
          <cell r="B1018" t="str">
            <v>Stockport CCG</v>
          </cell>
          <cell r="C1018" t="str">
            <v>MISCLASSIFIED? CHECK BEFORE PUBLICATION</v>
          </cell>
          <cell r="D1018" t="str">
            <v>MISCLASSIFIED? CHECK BEFORE PUBLICATION</v>
          </cell>
          <cell r="E1018">
            <v>999999</v>
          </cell>
        </row>
        <row r="1019">
          <cell r="A1019">
            <v>703011</v>
          </cell>
          <cell r="B1019" t="str">
            <v>Stepping Hill NHS FT</v>
          </cell>
          <cell r="C1019" t="str">
            <v>MISCLASSIFIED? CHECK BEFORE PUBLICATION</v>
          </cell>
          <cell r="D1019" t="str">
            <v>MISCLASSIFIED? CHECK BEFORE PUBLICATION</v>
          </cell>
          <cell r="E1019">
            <v>999999</v>
          </cell>
        </row>
        <row r="1020">
          <cell r="A1020">
            <v>703012</v>
          </cell>
          <cell r="B1020" t="str">
            <v>NHS Northwest</v>
          </cell>
          <cell r="C1020" t="str">
            <v>MISCLASSIFIED? CHECK BEFORE PUBLICATION</v>
          </cell>
          <cell r="D1020" t="str">
            <v>MISCLASSIFIED? CHECK BEFORE PUBLICATION</v>
          </cell>
          <cell r="E1020">
            <v>999999</v>
          </cell>
        </row>
        <row r="1021">
          <cell r="A1021">
            <v>703013</v>
          </cell>
          <cell r="B1021" t="str">
            <v>Other NHS</v>
          </cell>
          <cell r="C1021" t="str">
            <v>MISCLASSIFIED? CHECK BEFORE PUBLICATION</v>
          </cell>
          <cell r="D1021" t="str">
            <v>MISCLASSIFIED? CHECK BEFORE PUBLICATION</v>
          </cell>
          <cell r="E1021">
            <v>999999</v>
          </cell>
        </row>
        <row r="1022">
          <cell r="A1022">
            <v>703020</v>
          </cell>
          <cell r="B1022" t="str">
            <v>University of Bolton</v>
          </cell>
          <cell r="C1022" t="str">
            <v>MISCLASSIFIED? CHECK BEFORE PUBLICATION</v>
          </cell>
          <cell r="D1022" t="str">
            <v>MISCLASSIFIED? CHECK BEFORE PUBLICATION</v>
          </cell>
          <cell r="E1022">
            <v>999999</v>
          </cell>
        </row>
        <row r="1023">
          <cell r="A1023">
            <v>703030</v>
          </cell>
          <cell r="B1023" t="str">
            <v>Borough Care</v>
          </cell>
          <cell r="C1023" t="str">
            <v>MISCLASSIFIED? CHECK BEFORE PUBLICATION</v>
          </cell>
          <cell r="D1023" t="str">
            <v>MISCLASSIFIED? CHECK BEFORE PUBLICATION</v>
          </cell>
          <cell r="E1023">
            <v>999999</v>
          </cell>
        </row>
        <row r="1024">
          <cell r="A1024">
            <v>703031</v>
          </cell>
          <cell r="B1024" t="str">
            <v>Age UK</v>
          </cell>
          <cell r="C1024" t="str">
            <v>MISCLASSIFIED? CHECK BEFORE PUBLICATION</v>
          </cell>
          <cell r="D1024" t="str">
            <v>MISCLASSIFIED? CHECK BEFORE PUBLICATION</v>
          </cell>
          <cell r="E1024">
            <v>999999</v>
          </cell>
        </row>
        <row r="1025">
          <cell r="A1025">
            <v>703032</v>
          </cell>
          <cell r="B1025" t="str">
            <v>Esme Club</v>
          </cell>
          <cell r="C1025" t="str">
            <v>MISCLASSIFIED? CHECK BEFORE PUBLICATION</v>
          </cell>
          <cell r="D1025" t="str">
            <v>MISCLASSIFIED? CHECK BEFORE PUBLICATION</v>
          </cell>
          <cell r="E1025">
            <v>999999</v>
          </cell>
        </row>
        <row r="1026">
          <cell r="A1026">
            <v>703040</v>
          </cell>
          <cell r="B1026" t="str">
            <v>Private Customers</v>
          </cell>
          <cell r="C1026" t="str">
            <v>MISCLASSIFIED? CHECK BEFORE PUBLICATION</v>
          </cell>
          <cell r="D1026" t="str">
            <v>MISCLASSIFIED? CHECK BEFORE PUBLICATION</v>
          </cell>
          <cell r="E1026">
            <v>999999</v>
          </cell>
        </row>
        <row r="1027">
          <cell r="A1027">
            <v>703050</v>
          </cell>
          <cell r="B1027" t="str">
            <v>Other Income</v>
          </cell>
          <cell r="C1027" t="str">
            <v>MISCLASSIFIED? CHECK BEFORE PUBLICATION</v>
          </cell>
          <cell r="D1027" t="str">
            <v>MISCLASSIFIED? CHECK BEFORE PUBLICATION</v>
          </cell>
          <cell r="E1027">
            <v>999999</v>
          </cell>
        </row>
        <row r="1028">
          <cell r="A1028">
            <v>780001</v>
          </cell>
          <cell r="B1028" t="str">
            <v>INT Refuse Removal</v>
          </cell>
          <cell r="C1028" t="str">
            <v>MISCLASSIFIED? CHECK BEFORE PUBLICATION</v>
          </cell>
          <cell r="D1028" t="str">
            <v>MISCLASSIFIED? CHECK BEFORE PUBLICATION</v>
          </cell>
          <cell r="E1028">
            <v>999999</v>
          </cell>
        </row>
        <row r="1029">
          <cell r="A1029">
            <v>780002</v>
          </cell>
          <cell r="B1029" t="str">
            <v>INT Recharge-Capital</v>
          </cell>
          <cell r="C1029" t="str">
            <v>MISCLASSIFIED? CHECK BEFORE PUBLICATION</v>
          </cell>
          <cell r="D1029" t="str">
            <v>MISCLASSIFIED? CHECK BEFORE PUBLICATION</v>
          </cell>
          <cell r="E1029">
            <v>999999</v>
          </cell>
        </row>
        <row r="1030">
          <cell r="A1030">
            <v>799901</v>
          </cell>
          <cell r="B1030" t="str">
            <v>U-Ctax Ben-Admin Gra</v>
          </cell>
          <cell r="C1030" t="str">
            <v>MISCLASSIFIED? CHECK BEFORE PUBLICATION</v>
          </cell>
          <cell r="D1030" t="str">
            <v>MISCLASSIFIED? CHECK BEFORE PUBLICATION</v>
          </cell>
          <cell r="E1030">
            <v>999999</v>
          </cell>
        </row>
        <row r="1031">
          <cell r="A1031">
            <v>799902</v>
          </cell>
          <cell r="B1031" t="str">
            <v>U-NNDR Grant re Cost</v>
          </cell>
          <cell r="C1031" t="str">
            <v>MISCLASSIFIED? CHECK BEFORE PUBLICATION</v>
          </cell>
          <cell r="D1031" t="str">
            <v>MISCLASSIFIED? CHECK BEFORE PUBLICATION</v>
          </cell>
          <cell r="E1031">
            <v>999999</v>
          </cell>
        </row>
        <row r="1032">
          <cell r="A1032">
            <v>799903</v>
          </cell>
          <cell r="B1032" t="str">
            <v>U-Dividend-Man Airpo</v>
          </cell>
          <cell r="C1032" t="str">
            <v>MISCLASSIFIED? CHECK BEFORE PUBLICATION</v>
          </cell>
          <cell r="D1032" t="str">
            <v>MISCLASSIFIED? CHECK BEFORE PUBLICATION</v>
          </cell>
          <cell r="E1032">
            <v>999999</v>
          </cell>
        </row>
        <row r="1033">
          <cell r="A1033">
            <v>799904</v>
          </cell>
          <cell r="B1033" t="str">
            <v>U-Rents-Man Airport</v>
          </cell>
          <cell r="C1033" t="str">
            <v>MISCLASSIFIED? CHECK BEFORE PUBLICATION</v>
          </cell>
          <cell r="D1033" t="str">
            <v>MISCLASSIFIED? CHECK BEFORE PUBLICATION</v>
          </cell>
          <cell r="E1033">
            <v>999999</v>
          </cell>
        </row>
        <row r="1034">
          <cell r="A1034">
            <v>799905</v>
          </cell>
          <cell r="B1034" t="str">
            <v>U-Fraud Incentive Gr</v>
          </cell>
          <cell r="C1034" t="str">
            <v>MISCLASSIFIED? CHECK BEFORE PUBLICATION</v>
          </cell>
          <cell r="D1034" t="str">
            <v>MISCLASSIFIED? CHECK BEFORE PUBLICATION</v>
          </cell>
          <cell r="E1034">
            <v>999999</v>
          </cell>
        </row>
        <row r="1035">
          <cell r="A1035">
            <v>799906</v>
          </cell>
          <cell r="B1035" t="str">
            <v>U-Land Charges</v>
          </cell>
          <cell r="C1035" t="str">
            <v>MISCLASSIFIED? CHECK BEFORE PUBLICATION</v>
          </cell>
          <cell r="D1035" t="str">
            <v>MISCLASSIFIED? CHECK BEFORE PUBLICATION</v>
          </cell>
          <cell r="E1035">
            <v>999999</v>
          </cell>
        </row>
        <row r="1036">
          <cell r="A1036">
            <v>799907</v>
          </cell>
          <cell r="B1036" t="str">
            <v>Non Res Assessed Chg</v>
          </cell>
          <cell r="C1036" t="str">
            <v>MISCLASSIFIED? CHECK BEFORE PUBLICATION</v>
          </cell>
          <cell r="D1036" t="str">
            <v>MISCLASSIFIED? CHECK BEFORE PUBLICATION</v>
          </cell>
          <cell r="E1036">
            <v>999999</v>
          </cell>
        </row>
        <row r="1037">
          <cell r="A1037">
            <v>799908</v>
          </cell>
          <cell r="B1037" t="str">
            <v>Non Res Fixed Chg</v>
          </cell>
          <cell r="C1037" t="str">
            <v>MISCLASSIFIED? CHECK BEFORE PUBLICATION</v>
          </cell>
          <cell r="D1037" t="str">
            <v>MISCLASSIFIED? CHECK BEFORE PUBLICATION</v>
          </cell>
          <cell r="E1037">
            <v>999999</v>
          </cell>
        </row>
        <row r="1038">
          <cell r="A1038">
            <v>800000</v>
          </cell>
          <cell r="B1038" t="str">
            <v>Bureau Admin Charge</v>
          </cell>
          <cell r="C1038" t="str">
            <v>Employee expenditure</v>
          </cell>
          <cell r="D1038" t="str">
            <v>MISCLASSIFIED? CHECK BEFORE PUBLICATION</v>
          </cell>
          <cell r="E1038">
            <v>261400</v>
          </cell>
        </row>
        <row r="1039">
          <cell r="A1039">
            <v>800001</v>
          </cell>
          <cell r="B1039" t="str">
            <v>U-Inter Directorate</v>
          </cell>
          <cell r="C1039" t="str">
            <v>MISCLASSIFIED? CHECK BEFORE PUBLICATION</v>
          </cell>
          <cell r="D1039" t="str">
            <v>MISCLASSIFIED? CHECK BEFORE PUBLICATION</v>
          </cell>
          <cell r="E1039">
            <v>999999</v>
          </cell>
        </row>
        <row r="1040">
          <cell r="A1040">
            <v>800002</v>
          </cell>
          <cell r="B1040" t="str">
            <v>U-BSD CEN RECHARGE</v>
          </cell>
          <cell r="C1040" t="str">
            <v>MISCLASSIFIED? CHECK BEFORE PUBLICATION</v>
          </cell>
          <cell r="D1040" t="str">
            <v>MISCLASSIFIED? CHECK BEFORE PUBLICATION</v>
          </cell>
          <cell r="E1040">
            <v>999999</v>
          </cell>
        </row>
        <row r="1041">
          <cell r="A1041">
            <v>800003</v>
          </cell>
          <cell r="B1041" t="str">
            <v>U- INSURANCE FUND</v>
          </cell>
          <cell r="C1041" t="str">
            <v>MISCLASSIFIED? CHECK BEFORE PUBLICATION</v>
          </cell>
          <cell r="D1041" t="str">
            <v>MISCLASSIFIED? CHECK BEFORE PUBLICATION</v>
          </cell>
          <cell r="E1041">
            <v>999999</v>
          </cell>
        </row>
        <row r="1042">
          <cell r="A1042">
            <v>800050</v>
          </cell>
          <cell r="B1042" t="str">
            <v>U-RECHARGE-CAR P ADM</v>
          </cell>
          <cell r="C1042" t="str">
            <v>MISCLASSIFIED? CHECK BEFORE PUBLICATION</v>
          </cell>
          <cell r="D1042" t="str">
            <v>MISCLASSIFIED? CHECK BEFORE PUBLICATION</v>
          </cell>
          <cell r="E1042">
            <v>999999</v>
          </cell>
        </row>
        <row r="1043">
          <cell r="A1043">
            <v>800061</v>
          </cell>
          <cell r="B1043" t="str">
            <v>U-NORFOLK PROP SERV</v>
          </cell>
          <cell r="C1043" t="str">
            <v>MISCLASSIFIED? CHECK BEFORE PUBLICATION</v>
          </cell>
          <cell r="D1043" t="str">
            <v>MISCLASSIFIED? CHECK BEFORE PUBLICATION</v>
          </cell>
          <cell r="E1043">
            <v>999999</v>
          </cell>
        </row>
        <row r="1044">
          <cell r="A1044">
            <v>800062</v>
          </cell>
          <cell r="B1044" t="str">
            <v>U-ENGINEERS RECHARGE</v>
          </cell>
          <cell r="C1044" t="str">
            <v>MISCLASSIFIED? CHECK BEFORE PUBLICATION</v>
          </cell>
          <cell r="D1044" t="str">
            <v>MISCLASSIFIED? CHECK BEFORE PUBLICATION</v>
          </cell>
          <cell r="E1044">
            <v>999999</v>
          </cell>
        </row>
        <row r="1045">
          <cell r="A1045">
            <v>800063</v>
          </cell>
          <cell r="B1045" t="str">
            <v>PROPERTY CHARGE</v>
          </cell>
          <cell r="C1045" t="str">
            <v>MISCLASSIFIED? CHECK BEFORE PUBLICATION</v>
          </cell>
          <cell r="D1045" t="str">
            <v>MISCLASSIFIED? CHECK BEFORE PUBLICATION</v>
          </cell>
          <cell r="E1045">
            <v>999999</v>
          </cell>
        </row>
        <row r="1046">
          <cell r="A1046">
            <v>800064</v>
          </cell>
          <cell r="B1046" t="str">
            <v>U-DIALSTONE RECHARGE</v>
          </cell>
          <cell r="C1046" t="str">
            <v>MISCLASSIFIED? CHECK BEFORE PUBLICATION</v>
          </cell>
          <cell r="D1046" t="str">
            <v>MISCLASSIFIED? CHECK BEFORE PUBLICATION</v>
          </cell>
          <cell r="E1046">
            <v>999999</v>
          </cell>
        </row>
        <row r="1047">
          <cell r="A1047">
            <v>800065</v>
          </cell>
          <cell r="B1047" t="str">
            <v>U-TOWN HALL BALLROOM</v>
          </cell>
          <cell r="C1047" t="str">
            <v>MISCLASSIFIED? CHECK BEFORE PUBLICATION</v>
          </cell>
          <cell r="D1047" t="str">
            <v>MISCLASSIFIED? CHECK BEFORE PUBLICATION</v>
          </cell>
          <cell r="E1047">
            <v>999999</v>
          </cell>
        </row>
        <row r="1048">
          <cell r="A1048">
            <v>800080</v>
          </cell>
          <cell r="B1048" t="str">
            <v>Intra BSD/CE OUT</v>
          </cell>
          <cell r="C1048" t="str">
            <v>MISCLASSIFIED? CHECK BEFORE PUBLICATION</v>
          </cell>
          <cell r="D1048" t="str">
            <v>MISCLASSIFIED? CHECK BEFORE PUBLICATION</v>
          </cell>
          <cell r="E1048">
            <v>999999</v>
          </cell>
        </row>
        <row r="1049">
          <cell r="A1049">
            <v>800082</v>
          </cell>
          <cell r="B1049" t="str">
            <v>U-PORTERAGE</v>
          </cell>
          <cell r="C1049" t="str">
            <v>MISCLASSIFIED? CHECK BEFORE PUBLICATION</v>
          </cell>
          <cell r="D1049" t="str">
            <v>MISCLASSIFIED? CHECK BEFORE PUBLICATION</v>
          </cell>
          <cell r="E1049">
            <v>999999</v>
          </cell>
        </row>
        <row r="1050">
          <cell r="A1050">
            <v>800090</v>
          </cell>
          <cell r="B1050" t="str">
            <v>Intra BSD/CE IN</v>
          </cell>
          <cell r="C1050" t="str">
            <v>MISCLASSIFIED? CHECK BEFORE PUBLICATION</v>
          </cell>
          <cell r="D1050" t="str">
            <v>MISCLASSIFIED? CHECK BEFORE PUBLICATION</v>
          </cell>
          <cell r="E1050">
            <v>999999</v>
          </cell>
        </row>
        <row r="1051">
          <cell r="A1051">
            <v>800097</v>
          </cell>
          <cell r="B1051" t="str">
            <v>Bureau - LD &amp; Supp</v>
          </cell>
          <cell r="C1051" t="str">
            <v>Employee expenditure</v>
          </cell>
          <cell r="D1051" t="str">
            <v>MISCLASSIFIED? CHECK BEFORE PUBLICATION</v>
          </cell>
          <cell r="E1051">
            <v>261400</v>
          </cell>
        </row>
        <row r="1052">
          <cell r="A1052">
            <v>800098</v>
          </cell>
          <cell r="B1052" t="str">
            <v>Bureau - Admin</v>
          </cell>
          <cell r="C1052" t="str">
            <v>Employee expenditure</v>
          </cell>
          <cell r="D1052" t="str">
            <v>MISCLASSIFIED? CHECK BEFORE PUBLICATION</v>
          </cell>
          <cell r="E1052">
            <v>261400</v>
          </cell>
        </row>
        <row r="1053">
          <cell r="A1053">
            <v>800099</v>
          </cell>
          <cell r="B1053" t="str">
            <v>Teachers - On Costs</v>
          </cell>
          <cell r="C1053" t="str">
            <v>Employee expenditure</v>
          </cell>
          <cell r="D1053" t="str">
            <v>MISCLASSIFIED? CHECK BEFORE PUBLICATION</v>
          </cell>
          <cell r="E1053">
            <v>261400</v>
          </cell>
        </row>
        <row r="1054">
          <cell r="A1054">
            <v>801000</v>
          </cell>
          <cell r="B1054" t="str">
            <v>Bureau Supply Charge</v>
          </cell>
          <cell r="C1054" t="str">
            <v>Employee expenditure</v>
          </cell>
          <cell r="D1054" t="str">
            <v>MISCLASSIFIED? CHECK BEFORE PUBLICATION</v>
          </cell>
          <cell r="E1054">
            <v>261400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81"/>
  <sheetViews>
    <sheetView tabSelected="1" workbookViewId="0"/>
  </sheetViews>
  <sheetFormatPr defaultColWidth="9.140625" defaultRowHeight="15" x14ac:dyDescent="0.25"/>
  <cols>
    <col min="1" max="2" width="16" customWidth="1"/>
    <col min="3" max="3" width="7.85546875" customWidth="1"/>
    <col min="4" max="4" width="10.28515625" customWidth="1"/>
    <col min="5" max="5" width="37.28515625" bestFit="1" customWidth="1"/>
    <col min="6" max="6" width="16" customWidth="1"/>
    <col min="7" max="7" width="24.140625" customWidth="1"/>
    <col min="8" max="8" width="24.85546875" customWidth="1"/>
    <col min="9" max="9" width="21.5703125" customWidth="1"/>
    <col min="10" max="10" width="22.85546875" customWidth="1"/>
    <col min="11" max="13" width="16" customWidth="1"/>
  </cols>
  <sheetData>
    <row r="1" spans="1:13" s="9" customFormat="1" ht="60.75" thickBot="1" x14ac:dyDescent="0.3">
      <c r="A1" s="8" t="s">
        <v>562</v>
      </c>
      <c r="B1" s="2" t="s">
        <v>563</v>
      </c>
      <c r="C1" s="2" t="s">
        <v>564</v>
      </c>
      <c r="D1" s="2" t="s">
        <v>565</v>
      </c>
      <c r="E1" s="2" t="s">
        <v>566</v>
      </c>
      <c r="F1" s="2" t="s">
        <v>567</v>
      </c>
      <c r="G1" s="2" t="s">
        <v>568</v>
      </c>
      <c r="H1" s="2" t="s">
        <v>569</v>
      </c>
      <c r="I1" s="2" t="s">
        <v>570</v>
      </c>
      <c r="J1" s="2" t="s">
        <v>571</v>
      </c>
      <c r="K1" s="2" t="s">
        <v>572</v>
      </c>
      <c r="L1" s="2" t="s">
        <v>573</v>
      </c>
      <c r="M1" s="2" t="s">
        <v>574</v>
      </c>
    </row>
    <row r="2" spans="1:13" ht="31.5" x14ac:dyDescent="0.25">
      <c r="A2" s="5" t="s">
        <v>22</v>
      </c>
      <c r="B2" s="5" t="s">
        <v>149</v>
      </c>
      <c r="C2" s="5">
        <v>1</v>
      </c>
      <c r="D2" s="5">
        <v>12351</v>
      </c>
      <c r="E2" s="5" t="s">
        <v>78</v>
      </c>
      <c r="F2" s="3">
        <v>181800</v>
      </c>
      <c r="G2" s="3" t="s">
        <v>575</v>
      </c>
      <c r="H2" s="3" t="s">
        <v>576</v>
      </c>
      <c r="I2" s="6" t="s">
        <v>577</v>
      </c>
      <c r="J2" s="3" t="s">
        <v>630</v>
      </c>
      <c r="K2" s="7">
        <f>ROUND(5046,2)</f>
        <v>5046</v>
      </c>
      <c r="L2" s="5">
        <v>400110</v>
      </c>
      <c r="M2" s="5">
        <v>13001</v>
      </c>
    </row>
    <row r="3" spans="1:13" ht="31.5" x14ac:dyDescent="0.25">
      <c r="A3" s="5" t="s">
        <v>22</v>
      </c>
      <c r="B3" s="5" t="s">
        <v>149</v>
      </c>
      <c r="C3" s="5">
        <v>2</v>
      </c>
      <c r="D3" s="5">
        <v>12351</v>
      </c>
      <c r="E3" s="5" t="s">
        <v>78</v>
      </c>
      <c r="F3" s="3">
        <v>181800</v>
      </c>
      <c r="G3" s="3" t="s">
        <v>575</v>
      </c>
      <c r="H3" s="3" t="s">
        <v>576</v>
      </c>
      <c r="I3" s="6" t="s">
        <v>577</v>
      </c>
      <c r="J3" s="3" t="s">
        <v>630</v>
      </c>
      <c r="K3" s="7">
        <f>ROUND(783,2)</f>
        <v>783</v>
      </c>
      <c r="L3" s="5">
        <v>400110</v>
      </c>
      <c r="M3" s="5">
        <v>13001</v>
      </c>
    </row>
    <row r="4" spans="1:13" ht="31.5" x14ac:dyDescent="0.25">
      <c r="A4" s="5" t="s">
        <v>22</v>
      </c>
      <c r="B4" s="5" t="s">
        <v>149</v>
      </c>
      <c r="C4" s="5">
        <v>3</v>
      </c>
      <c r="D4" s="5">
        <v>12351</v>
      </c>
      <c r="E4" s="5" t="s">
        <v>78</v>
      </c>
      <c r="F4" s="3">
        <v>181800</v>
      </c>
      <c r="G4" s="3" t="s">
        <v>575</v>
      </c>
      <c r="H4" s="3" t="s">
        <v>576</v>
      </c>
      <c r="I4" s="6" t="s">
        <v>577</v>
      </c>
      <c r="J4" s="3" t="s">
        <v>630</v>
      </c>
      <c r="K4" s="7">
        <f>ROUND(435,2)</f>
        <v>435</v>
      </c>
      <c r="L4" s="5">
        <v>400110</v>
      </c>
      <c r="M4" s="5">
        <v>13001</v>
      </c>
    </row>
    <row r="5" spans="1:13" ht="31.5" x14ac:dyDescent="0.25">
      <c r="A5" s="5" t="s">
        <v>22</v>
      </c>
      <c r="B5" s="5" t="s">
        <v>149</v>
      </c>
      <c r="C5" s="5">
        <v>4</v>
      </c>
      <c r="D5" s="5">
        <v>12351</v>
      </c>
      <c r="E5" s="5" t="s">
        <v>78</v>
      </c>
      <c r="F5" s="3">
        <v>181800</v>
      </c>
      <c r="G5" s="3" t="s">
        <v>575</v>
      </c>
      <c r="H5" s="3" t="s">
        <v>576</v>
      </c>
      <c r="I5" s="6" t="s">
        <v>577</v>
      </c>
      <c r="J5" s="3" t="s">
        <v>630</v>
      </c>
      <c r="K5" s="7">
        <f>ROUND(145,2)</f>
        <v>145</v>
      </c>
      <c r="L5" s="5">
        <v>400110</v>
      </c>
      <c r="M5" s="5">
        <v>13001</v>
      </c>
    </row>
    <row r="6" spans="1:13" ht="31.5" x14ac:dyDescent="0.25">
      <c r="A6" s="5" t="s">
        <v>22</v>
      </c>
      <c r="B6" s="5" t="s">
        <v>149</v>
      </c>
      <c r="C6" s="5">
        <v>5</v>
      </c>
      <c r="D6" s="5">
        <v>12351</v>
      </c>
      <c r="E6" s="5" t="s">
        <v>78</v>
      </c>
      <c r="F6" s="3">
        <v>181800</v>
      </c>
      <c r="G6" s="3" t="s">
        <v>575</v>
      </c>
      <c r="H6" s="3" t="s">
        <v>576</v>
      </c>
      <c r="I6" s="6" t="s">
        <v>577</v>
      </c>
      <c r="J6" s="3" t="s">
        <v>630</v>
      </c>
      <c r="K6" s="7">
        <f>ROUND(829,2)</f>
        <v>829</v>
      </c>
      <c r="L6" s="5">
        <v>400110</v>
      </c>
      <c r="M6" s="5">
        <v>13001</v>
      </c>
    </row>
    <row r="7" spans="1:13" ht="47.25" x14ac:dyDescent="0.25">
      <c r="A7" s="5" t="s">
        <v>24</v>
      </c>
      <c r="B7" s="5" t="s">
        <v>262</v>
      </c>
      <c r="C7" s="5">
        <v>1</v>
      </c>
      <c r="D7" s="5">
        <v>35</v>
      </c>
      <c r="E7" s="5" t="s">
        <v>15</v>
      </c>
      <c r="F7" s="3">
        <v>270000</v>
      </c>
      <c r="G7" s="3" t="s">
        <v>578</v>
      </c>
      <c r="H7" s="3" t="s">
        <v>579</v>
      </c>
      <c r="I7" s="6" t="s">
        <v>577</v>
      </c>
      <c r="J7" s="3" t="s">
        <v>630</v>
      </c>
      <c r="K7" s="7">
        <f>ROUND(1190,2)</f>
        <v>1190</v>
      </c>
      <c r="L7" s="5">
        <v>402001</v>
      </c>
      <c r="M7" s="5">
        <v>13001</v>
      </c>
    </row>
    <row r="8" spans="1:13" ht="47.25" x14ac:dyDescent="0.25">
      <c r="A8" s="5" t="s">
        <v>24</v>
      </c>
      <c r="B8" s="5" t="s">
        <v>262</v>
      </c>
      <c r="C8" s="5">
        <v>2</v>
      </c>
      <c r="D8" s="5">
        <v>35</v>
      </c>
      <c r="E8" s="5" t="s">
        <v>15</v>
      </c>
      <c r="F8" s="3">
        <v>270000</v>
      </c>
      <c r="G8" s="3" t="s">
        <v>578</v>
      </c>
      <c r="H8" s="3" t="s">
        <v>579</v>
      </c>
      <c r="I8" s="6" t="s">
        <v>577</v>
      </c>
      <c r="J8" s="3" t="s">
        <v>630</v>
      </c>
      <c r="K8" s="7">
        <f>ROUND(6286,2)</f>
        <v>6286</v>
      </c>
      <c r="L8" s="5">
        <v>402001</v>
      </c>
      <c r="M8" s="5">
        <v>13001</v>
      </c>
    </row>
    <row r="9" spans="1:13" ht="47.25" x14ac:dyDescent="0.25">
      <c r="A9" s="5" t="s">
        <v>24</v>
      </c>
      <c r="B9" s="5" t="s">
        <v>262</v>
      </c>
      <c r="C9" s="5">
        <v>3</v>
      </c>
      <c r="D9" s="5">
        <v>35</v>
      </c>
      <c r="E9" s="5" t="s">
        <v>15</v>
      </c>
      <c r="F9" s="3">
        <v>270000</v>
      </c>
      <c r="G9" s="3" t="s">
        <v>578</v>
      </c>
      <c r="H9" s="3" t="s">
        <v>579</v>
      </c>
      <c r="I9" s="6" t="s">
        <v>577</v>
      </c>
      <c r="J9" s="3" t="s">
        <v>630</v>
      </c>
      <c r="K9" s="7">
        <f>ROUND(1134,2)</f>
        <v>1134</v>
      </c>
      <c r="L9" s="5">
        <v>402001</v>
      </c>
      <c r="M9" s="5">
        <v>13001</v>
      </c>
    </row>
    <row r="10" spans="1:13" ht="31.5" x14ac:dyDescent="0.25">
      <c r="A10" s="5" t="s">
        <v>159</v>
      </c>
      <c r="B10" s="5" t="s">
        <v>278</v>
      </c>
      <c r="C10" s="5">
        <v>1</v>
      </c>
      <c r="D10" s="5">
        <v>12351</v>
      </c>
      <c r="E10" s="5" t="s">
        <v>78</v>
      </c>
      <c r="F10" s="3">
        <v>181800</v>
      </c>
      <c r="G10" s="3" t="s">
        <v>575</v>
      </c>
      <c r="H10" s="3" t="s">
        <v>576</v>
      </c>
      <c r="I10" s="6" t="s">
        <v>577</v>
      </c>
      <c r="J10" s="3" t="s">
        <v>630</v>
      </c>
      <c r="K10" s="7">
        <f>ROUND(9900,2)</f>
        <v>9900</v>
      </c>
      <c r="L10" s="5">
        <v>400110</v>
      </c>
      <c r="M10" s="5">
        <v>13001</v>
      </c>
    </row>
    <row r="11" spans="1:13" ht="31.5" x14ac:dyDescent="0.25">
      <c r="A11" s="5" t="s">
        <v>159</v>
      </c>
      <c r="B11" s="5" t="s">
        <v>278</v>
      </c>
      <c r="C11" s="5">
        <v>2</v>
      </c>
      <c r="D11" s="5">
        <v>12351</v>
      </c>
      <c r="E11" s="5" t="s">
        <v>78</v>
      </c>
      <c r="F11" s="3">
        <v>181800</v>
      </c>
      <c r="G11" s="3" t="s">
        <v>575</v>
      </c>
      <c r="H11" s="3" t="s">
        <v>576</v>
      </c>
      <c r="I11" s="6" t="s">
        <v>577</v>
      </c>
      <c r="J11" s="3" t="s">
        <v>630</v>
      </c>
      <c r="K11" s="7">
        <f>ROUND(1620,2)</f>
        <v>1620</v>
      </c>
      <c r="L11" s="5">
        <v>400110</v>
      </c>
      <c r="M11" s="5">
        <v>13001</v>
      </c>
    </row>
    <row r="12" spans="1:13" ht="31.5" x14ac:dyDescent="0.25">
      <c r="A12" s="5" t="s">
        <v>159</v>
      </c>
      <c r="B12" s="5" t="s">
        <v>278</v>
      </c>
      <c r="C12" s="5">
        <v>3</v>
      </c>
      <c r="D12" s="5">
        <v>12351</v>
      </c>
      <c r="E12" s="5" t="s">
        <v>78</v>
      </c>
      <c r="F12" s="3">
        <v>181800</v>
      </c>
      <c r="G12" s="3" t="s">
        <v>575</v>
      </c>
      <c r="H12" s="3" t="s">
        <v>576</v>
      </c>
      <c r="I12" s="6" t="s">
        <v>577</v>
      </c>
      <c r="J12" s="3" t="s">
        <v>630</v>
      </c>
      <c r="K12" s="7">
        <f>ROUND(900,2)</f>
        <v>900</v>
      </c>
      <c r="L12" s="5">
        <v>400110</v>
      </c>
      <c r="M12" s="5">
        <v>13001</v>
      </c>
    </row>
    <row r="13" spans="1:13" ht="31.5" x14ac:dyDescent="0.25">
      <c r="A13" s="5" t="s">
        <v>159</v>
      </c>
      <c r="B13" s="5" t="s">
        <v>278</v>
      </c>
      <c r="C13" s="5">
        <v>4</v>
      </c>
      <c r="D13" s="5">
        <v>12351</v>
      </c>
      <c r="E13" s="5" t="s">
        <v>78</v>
      </c>
      <c r="F13" s="3">
        <v>181800</v>
      </c>
      <c r="G13" s="3" t="s">
        <v>575</v>
      </c>
      <c r="H13" s="3" t="s">
        <v>576</v>
      </c>
      <c r="I13" s="6" t="s">
        <v>577</v>
      </c>
      <c r="J13" s="3" t="s">
        <v>630</v>
      </c>
      <c r="K13" s="7">
        <f>ROUND(300,2)</f>
        <v>300</v>
      </c>
      <c r="L13" s="5">
        <v>400110</v>
      </c>
      <c r="M13" s="5">
        <v>13001</v>
      </c>
    </row>
    <row r="14" spans="1:13" ht="31.5" x14ac:dyDescent="0.25">
      <c r="A14" s="5" t="s">
        <v>61</v>
      </c>
      <c r="B14" s="5" t="s">
        <v>266</v>
      </c>
      <c r="C14" s="5">
        <v>1</v>
      </c>
      <c r="D14" s="5">
        <v>4050</v>
      </c>
      <c r="E14" s="5" t="s">
        <v>267</v>
      </c>
      <c r="F14" s="3">
        <f>VLOOKUP(L2,'[1]GL Lookups'!$A:$E,5,FALSE)</f>
        <v>181800</v>
      </c>
      <c r="G14" s="3" t="s">
        <v>575</v>
      </c>
      <c r="H14" s="3" t="s">
        <v>576</v>
      </c>
      <c r="I14" s="4" t="s">
        <v>577</v>
      </c>
      <c r="J14" s="3" t="s">
        <v>630</v>
      </c>
      <c r="K14" s="7">
        <f>ROUND(830759.89,2)</f>
        <v>830759.89</v>
      </c>
      <c r="L14" s="5">
        <v>402002</v>
      </c>
      <c r="M14" s="5" t="s">
        <v>268</v>
      </c>
    </row>
    <row r="15" spans="1:13" ht="47.25" x14ac:dyDescent="0.25">
      <c r="A15" s="5" t="s">
        <v>240</v>
      </c>
      <c r="B15" s="5" t="s">
        <v>289</v>
      </c>
      <c r="C15" s="5">
        <v>1</v>
      </c>
      <c r="D15" s="5">
        <v>7684</v>
      </c>
      <c r="E15" s="5" t="s">
        <v>290</v>
      </c>
      <c r="F15" s="3">
        <v>270000</v>
      </c>
      <c r="G15" s="3" t="s">
        <v>578</v>
      </c>
      <c r="H15" s="3" t="s">
        <v>579</v>
      </c>
      <c r="I15" s="6" t="s">
        <v>577</v>
      </c>
      <c r="J15" s="3" t="s">
        <v>631</v>
      </c>
      <c r="K15" s="7">
        <f>ROUND(374610.69,2)</f>
        <v>374610.69</v>
      </c>
      <c r="L15" s="5">
        <v>402002</v>
      </c>
      <c r="M15" s="5">
        <v>11324</v>
      </c>
    </row>
    <row r="16" spans="1:13" ht="47.25" x14ac:dyDescent="0.25">
      <c r="A16" s="5" t="s">
        <v>88</v>
      </c>
      <c r="B16" s="5" t="s">
        <v>309</v>
      </c>
      <c r="C16" s="5">
        <v>1</v>
      </c>
      <c r="D16" s="5">
        <v>7684</v>
      </c>
      <c r="E16" s="5" t="s">
        <v>290</v>
      </c>
      <c r="F16" s="3">
        <v>270000</v>
      </c>
      <c r="G16" s="3" t="s">
        <v>578</v>
      </c>
      <c r="H16" s="3" t="s">
        <v>579</v>
      </c>
      <c r="I16" s="6" t="s">
        <v>577</v>
      </c>
      <c r="J16" s="3" t="s">
        <v>631</v>
      </c>
      <c r="K16" s="7">
        <f>ROUND(49087.68,2)</f>
        <v>49087.68</v>
      </c>
      <c r="L16" s="5">
        <v>402002</v>
      </c>
      <c r="M16" s="5">
        <v>11324</v>
      </c>
    </row>
    <row r="17" spans="1:13" ht="47.25" x14ac:dyDescent="0.25">
      <c r="A17" s="5" t="s">
        <v>124</v>
      </c>
      <c r="B17" s="5" t="s">
        <v>395</v>
      </c>
      <c r="C17" s="5">
        <v>1</v>
      </c>
      <c r="D17" s="5">
        <v>544</v>
      </c>
      <c r="E17" s="5" t="s">
        <v>59</v>
      </c>
      <c r="F17" s="3">
        <v>270000</v>
      </c>
      <c r="G17" s="3" t="s">
        <v>578</v>
      </c>
      <c r="H17" s="3" t="s">
        <v>579</v>
      </c>
      <c r="I17" s="6" t="s">
        <v>577</v>
      </c>
      <c r="J17" s="3" t="s">
        <v>631</v>
      </c>
      <c r="K17" s="7">
        <f>ROUND(60790.36,2)</f>
        <v>60790.36</v>
      </c>
      <c r="L17" s="5">
        <v>402002</v>
      </c>
      <c r="M17" s="5">
        <v>11324</v>
      </c>
    </row>
    <row r="18" spans="1:13" ht="47.25" x14ac:dyDescent="0.25">
      <c r="A18" s="5" t="s">
        <v>397</v>
      </c>
      <c r="B18" s="5" t="s">
        <v>461</v>
      </c>
      <c r="C18" s="5">
        <v>1</v>
      </c>
      <c r="D18" s="5">
        <v>7684</v>
      </c>
      <c r="E18" s="5" t="s">
        <v>290</v>
      </c>
      <c r="F18" s="3">
        <v>270000</v>
      </c>
      <c r="G18" s="3" t="s">
        <v>578</v>
      </c>
      <c r="H18" s="3" t="s">
        <v>579</v>
      </c>
      <c r="I18" s="6" t="s">
        <v>577</v>
      </c>
      <c r="J18" s="3" t="s">
        <v>631</v>
      </c>
      <c r="K18" s="7">
        <f>ROUND(399.02,2)</f>
        <v>399.02</v>
      </c>
      <c r="L18" s="5">
        <v>402001</v>
      </c>
      <c r="M18" s="5">
        <v>11324</v>
      </c>
    </row>
    <row r="19" spans="1:13" ht="47.25" x14ac:dyDescent="0.25">
      <c r="A19" s="5" t="s">
        <v>397</v>
      </c>
      <c r="B19" s="5" t="s">
        <v>461</v>
      </c>
      <c r="C19" s="5">
        <v>2</v>
      </c>
      <c r="D19" s="5">
        <v>7684</v>
      </c>
      <c r="E19" s="5" t="s">
        <v>290</v>
      </c>
      <c r="F19" s="3">
        <v>270000</v>
      </c>
      <c r="G19" s="3" t="s">
        <v>578</v>
      </c>
      <c r="H19" s="3" t="s">
        <v>579</v>
      </c>
      <c r="I19" s="6" t="s">
        <v>577</v>
      </c>
      <c r="J19" s="3" t="s">
        <v>631</v>
      </c>
      <c r="K19" s="7">
        <f>ROUND(3769.98,2)</f>
        <v>3769.98</v>
      </c>
      <c r="L19" s="5">
        <v>402001</v>
      </c>
      <c r="M19" s="5">
        <v>11324</v>
      </c>
    </row>
    <row r="20" spans="1:13" ht="47.25" x14ac:dyDescent="0.25">
      <c r="A20" s="5" t="s">
        <v>397</v>
      </c>
      <c r="B20" s="5" t="s">
        <v>461</v>
      </c>
      <c r="C20" s="5">
        <v>3</v>
      </c>
      <c r="D20" s="5">
        <v>7684</v>
      </c>
      <c r="E20" s="5" t="s">
        <v>290</v>
      </c>
      <c r="F20" s="3">
        <v>270000</v>
      </c>
      <c r="G20" s="3" t="s">
        <v>578</v>
      </c>
      <c r="H20" s="3" t="s">
        <v>579</v>
      </c>
      <c r="I20" s="6" t="s">
        <v>577</v>
      </c>
      <c r="J20" s="3" t="s">
        <v>631</v>
      </c>
      <c r="K20" s="7">
        <f>ROUND(7821.35,2)</f>
        <v>7821.35</v>
      </c>
      <c r="L20" s="5">
        <v>402001</v>
      </c>
      <c r="M20" s="5">
        <v>11324</v>
      </c>
    </row>
    <row r="21" spans="1:13" ht="47.25" x14ac:dyDescent="0.25">
      <c r="A21" s="5" t="s">
        <v>397</v>
      </c>
      <c r="B21" s="5" t="s">
        <v>461</v>
      </c>
      <c r="C21" s="5">
        <v>4</v>
      </c>
      <c r="D21" s="5">
        <v>7684</v>
      </c>
      <c r="E21" s="5" t="s">
        <v>290</v>
      </c>
      <c r="F21" s="3">
        <v>270000</v>
      </c>
      <c r="G21" s="3" t="s">
        <v>578</v>
      </c>
      <c r="H21" s="3" t="s">
        <v>579</v>
      </c>
      <c r="I21" s="6" t="s">
        <v>577</v>
      </c>
      <c r="J21" s="3" t="s">
        <v>631</v>
      </c>
      <c r="K21" s="7">
        <f>ROUND(7230.35,2)</f>
        <v>7230.35</v>
      </c>
      <c r="L21" s="5">
        <v>402001</v>
      </c>
      <c r="M21" s="5">
        <v>11324</v>
      </c>
    </row>
    <row r="22" spans="1:13" ht="47.25" x14ac:dyDescent="0.25">
      <c r="A22" s="5" t="s">
        <v>397</v>
      </c>
      <c r="B22" s="5" t="s">
        <v>461</v>
      </c>
      <c r="C22" s="5">
        <v>5</v>
      </c>
      <c r="D22" s="5">
        <v>7684</v>
      </c>
      <c r="E22" s="5" t="s">
        <v>290</v>
      </c>
      <c r="F22" s="3">
        <v>270000</v>
      </c>
      <c r="G22" s="3" t="s">
        <v>578</v>
      </c>
      <c r="H22" s="3" t="s">
        <v>579</v>
      </c>
      <c r="I22" s="6" t="s">
        <v>577</v>
      </c>
      <c r="J22" s="3" t="s">
        <v>631</v>
      </c>
      <c r="K22" s="7">
        <f>ROUND(6055.87,2)</f>
        <v>6055.87</v>
      </c>
      <c r="L22" s="5">
        <v>402001</v>
      </c>
      <c r="M22" s="5">
        <v>11324</v>
      </c>
    </row>
    <row r="23" spans="1:13" ht="15.75" x14ac:dyDescent="0.25">
      <c r="A23" s="5" t="s">
        <v>1</v>
      </c>
      <c r="B23" s="5" t="s">
        <v>48</v>
      </c>
      <c r="C23" s="5">
        <v>1</v>
      </c>
      <c r="D23" s="5">
        <v>16801</v>
      </c>
      <c r="E23" s="5" t="s">
        <v>49</v>
      </c>
      <c r="F23" s="3">
        <v>202000</v>
      </c>
      <c r="G23" s="3" t="s">
        <v>580</v>
      </c>
      <c r="H23" s="3" t="s">
        <v>581</v>
      </c>
      <c r="I23" s="6" t="s">
        <v>582</v>
      </c>
      <c r="J23" s="3" t="s">
        <v>632</v>
      </c>
      <c r="K23" s="7">
        <f>ROUND(9052.98,2)</f>
        <v>9052.98</v>
      </c>
      <c r="L23" s="5">
        <v>200700</v>
      </c>
      <c r="M23" s="5">
        <v>11662</v>
      </c>
    </row>
    <row r="24" spans="1:13" ht="15.75" x14ac:dyDescent="0.25">
      <c r="A24" s="5" t="s">
        <v>1</v>
      </c>
      <c r="B24" s="5" t="s">
        <v>50</v>
      </c>
      <c r="C24" s="5">
        <v>1</v>
      </c>
      <c r="D24" s="5">
        <v>16801</v>
      </c>
      <c r="E24" s="5" t="s">
        <v>49</v>
      </c>
      <c r="F24" s="3">
        <v>202000</v>
      </c>
      <c r="G24" s="3" t="s">
        <v>580</v>
      </c>
      <c r="H24" s="3" t="s">
        <v>581</v>
      </c>
      <c r="I24" s="6" t="s">
        <v>582</v>
      </c>
      <c r="J24" s="3" t="s">
        <v>632</v>
      </c>
      <c r="K24" s="7">
        <f>ROUND(8333.33,2)</f>
        <v>8333.33</v>
      </c>
      <c r="L24" s="5">
        <v>200700</v>
      </c>
      <c r="M24" s="5">
        <v>11662</v>
      </c>
    </row>
    <row r="25" spans="1:13" ht="15.75" x14ac:dyDescent="0.25">
      <c r="A25" s="5" t="s">
        <v>1</v>
      </c>
      <c r="B25" s="5" t="s">
        <v>50</v>
      </c>
      <c r="C25" s="5">
        <v>2</v>
      </c>
      <c r="D25" s="5">
        <v>16801</v>
      </c>
      <c r="E25" s="5" t="s">
        <v>49</v>
      </c>
      <c r="F25" s="3">
        <v>202000</v>
      </c>
      <c r="G25" s="3" t="s">
        <v>580</v>
      </c>
      <c r="H25" s="3" t="s">
        <v>581</v>
      </c>
      <c r="I25" s="6" t="s">
        <v>582</v>
      </c>
      <c r="J25" s="3" t="s">
        <v>632</v>
      </c>
      <c r="K25" s="7">
        <f>ROUND(6666.67,2)</f>
        <v>6666.67</v>
      </c>
      <c r="L25" s="5">
        <v>200700</v>
      </c>
      <c r="M25" s="5">
        <v>11662</v>
      </c>
    </row>
    <row r="26" spans="1:13" ht="15.75" x14ac:dyDescent="0.25">
      <c r="A26" s="5" t="s">
        <v>1</v>
      </c>
      <c r="B26" s="5" t="s">
        <v>50</v>
      </c>
      <c r="C26" s="5">
        <v>3</v>
      </c>
      <c r="D26" s="5">
        <v>16801</v>
      </c>
      <c r="E26" s="5" t="s">
        <v>49</v>
      </c>
      <c r="F26" s="3">
        <v>202000</v>
      </c>
      <c r="G26" s="3" t="s">
        <v>580</v>
      </c>
      <c r="H26" s="3" t="s">
        <v>581</v>
      </c>
      <c r="I26" s="6" t="s">
        <v>582</v>
      </c>
      <c r="J26" s="3" t="s">
        <v>632</v>
      </c>
      <c r="K26" s="7">
        <f>ROUND(5000,2)</f>
        <v>5000</v>
      </c>
      <c r="L26" s="5">
        <v>200700</v>
      </c>
      <c r="M26" s="5">
        <v>11662</v>
      </c>
    </row>
    <row r="27" spans="1:13" ht="15.75" x14ac:dyDescent="0.25">
      <c r="A27" s="5" t="s">
        <v>32</v>
      </c>
      <c r="B27" s="5" t="s">
        <v>111</v>
      </c>
      <c r="C27" s="5">
        <v>1</v>
      </c>
      <c r="D27" s="5">
        <v>11728</v>
      </c>
      <c r="E27" s="5" t="s">
        <v>112</v>
      </c>
      <c r="F27" s="3">
        <v>130000</v>
      </c>
      <c r="G27" s="3" t="s">
        <v>583</v>
      </c>
      <c r="H27" s="3" t="s">
        <v>584</v>
      </c>
      <c r="I27" s="6" t="s">
        <v>582</v>
      </c>
      <c r="J27" s="3" t="s">
        <v>632</v>
      </c>
      <c r="K27" s="7">
        <f>ROUND(8041,2)</f>
        <v>8041</v>
      </c>
      <c r="L27" s="5">
        <v>201602</v>
      </c>
      <c r="M27" s="5">
        <v>11662</v>
      </c>
    </row>
    <row r="28" spans="1:13" ht="47.25" x14ac:dyDescent="0.25">
      <c r="A28" s="5" t="s">
        <v>240</v>
      </c>
      <c r="B28" s="5" t="s">
        <v>294</v>
      </c>
      <c r="C28" s="5">
        <v>1</v>
      </c>
      <c r="D28" s="5">
        <v>16041</v>
      </c>
      <c r="E28" s="5" t="s">
        <v>295</v>
      </c>
      <c r="F28" s="3">
        <f>VLOOKUP(L16,'[1]GL Lookups'!$A:$E,5,FALSE)</f>
        <v>270000</v>
      </c>
      <c r="G28" s="3" t="s">
        <v>578</v>
      </c>
      <c r="H28" s="3" t="s">
        <v>579</v>
      </c>
      <c r="I28" s="4" t="s">
        <v>577</v>
      </c>
      <c r="J28" s="3" t="s">
        <v>631</v>
      </c>
      <c r="K28" s="7">
        <f>ROUND(23644,2)</f>
        <v>23644</v>
      </c>
      <c r="L28" s="5">
        <v>200120</v>
      </c>
      <c r="M28" s="5" t="s">
        <v>167</v>
      </c>
    </row>
    <row r="29" spans="1:13" ht="47.25" x14ac:dyDescent="0.25">
      <c r="A29" s="5" t="s">
        <v>301</v>
      </c>
      <c r="B29" s="5" t="s">
        <v>386</v>
      </c>
      <c r="C29" s="5">
        <v>1</v>
      </c>
      <c r="D29" s="5">
        <v>8323</v>
      </c>
      <c r="E29" s="5" t="s">
        <v>56</v>
      </c>
      <c r="F29" s="3">
        <f>VLOOKUP(L17,'[1]GL Lookups'!$A:$E,5,FALSE)</f>
        <v>270000</v>
      </c>
      <c r="G29" s="3" t="s">
        <v>578</v>
      </c>
      <c r="H29" s="3" t="s">
        <v>579</v>
      </c>
      <c r="I29" s="4" t="s">
        <v>577</v>
      </c>
      <c r="J29" s="3" t="s">
        <v>631</v>
      </c>
      <c r="K29" s="7">
        <f>ROUND(5253.14,2)</f>
        <v>5253.14</v>
      </c>
      <c r="L29" s="5">
        <v>200311</v>
      </c>
      <c r="M29" s="5" t="s">
        <v>387</v>
      </c>
    </row>
    <row r="30" spans="1:13" ht="47.25" x14ac:dyDescent="0.25">
      <c r="A30" s="5" t="s">
        <v>334</v>
      </c>
      <c r="B30" s="5" t="s">
        <v>420</v>
      </c>
      <c r="C30" s="5">
        <v>1</v>
      </c>
      <c r="D30" s="5">
        <v>9992</v>
      </c>
      <c r="E30" s="5" t="s">
        <v>421</v>
      </c>
      <c r="F30" s="3">
        <f>VLOOKUP(L18,'[1]GL Lookups'!$A:$E,5,FALSE)</f>
        <v>270000</v>
      </c>
      <c r="G30" s="3" t="s">
        <v>578</v>
      </c>
      <c r="H30" s="3" t="s">
        <v>579</v>
      </c>
      <c r="I30" s="4" t="s">
        <v>577</v>
      </c>
      <c r="J30" s="3" t="s">
        <v>631</v>
      </c>
      <c r="K30" s="7">
        <f>ROUND(33914.04,2)</f>
        <v>33914.04</v>
      </c>
      <c r="L30" s="5">
        <v>200311</v>
      </c>
      <c r="M30" s="5" t="s">
        <v>422</v>
      </c>
    </row>
    <row r="31" spans="1:13" ht="47.25" x14ac:dyDescent="0.25">
      <c r="A31" s="5" t="s">
        <v>460</v>
      </c>
      <c r="B31" s="5" t="s">
        <v>473</v>
      </c>
      <c r="C31" s="5">
        <v>1</v>
      </c>
      <c r="D31" s="5">
        <v>8323</v>
      </c>
      <c r="E31" s="5" t="s">
        <v>56</v>
      </c>
      <c r="F31" s="3">
        <f>VLOOKUP(L19,'[1]GL Lookups'!$A:$E,5,FALSE)</f>
        <v>270000</v>
      </c>
      <c r="G31" s="3" t="s">
        <v>578</v>
      </c>
      <c r="H31" s="3" t="s">
        <v>579</v>
      </c>
      <c r="I31" s="4" t="s">
        <v>577</v>
      </c>
      <c r="J31" s="3" t="s">
        <v>631</v>
      </c>
      <c r="K31" s="7">
        <f>ROUND(5086.96,2)</f>
        <v>5086.96</v>
      </c>
      <c r="L31" s="5">
        <v>200311</v>
      </c>
      <c r="M31" s="5" t="s">
        <v>474</v>
      </c>
    </row>
    <row r="32" spans="1:13" ht="47.25" x14ac:dyDescent="0.25">
      <c r="A32" s="5" t="s">
        <v>204</v>
      </c>
      <c r="B32" s="5" t="s">
        <v>230</v>
      </c>
      <c r="C32" s="5">
        <v>1</v>
      </c>
      <c r="D32" s="5">
        <v>5535</v>
      </c>
      <c r="E32" s="5" t="s">
        <v>231</v>
      </c>
      <c r="F32" s="3">
        <v>270000</v>
      </c>
      <c r="G32" s="3" t="s">
        <v>578</v>
      </c>
      <c r="H32" s="3" t="s">
        <v>579</v>
      </c>
      <c r="I32" s="6" t="s">
        <v>588</v>
      </c>
      <c r="J32" s="3" t="s">
        <v>633</v>
      </c>
      <c r="K32" s="7">
        <f>ROUND(5316,2)</f>
        <v>5316</v>
      </c>
      <c r="L32" s="5">
        <v>402001</v>
      </c>
      <c r="M32" s="5">
        <v>10313</v>
      </c>
    </row>
    <row r="33" spans="1:13" ht="31.5" x14ac:dyDescent="0.25">
      <c r="A33" s="5" t="s">
        <v>8</v>
      </c>
      <c r="B33" s="5" t="s">
        <v>133</v>
      </c>
      <c r="C33" s="5">
        <v>1</v>
      </c>
      <c r="D33" s="5">
        <v>3529</v>
      </c>
      <c r="E33" s="5" t="s">
        <v>12</v>
      </c>
      <c r="F33" s="3">
        <v>111200</v>
      </c>
      <c r="G33" s="3" t="s">
        <v>589</v>
      </c>
      <c r="H33" s="3" t="s">
        <v>590</v>
      </c>
      <c r="I33" s="6" t="s">
        <v>588</v>
      </c>
      <c r="J33" s="3" t="s">
        <v>634</v>
      </c>
      <c r="K33" s="7">
        <f>ROUND(6837.48,2)</f>
        <v>6837.48</v>
      </c>
      <c r="L33" s="5">
        <v>400422</v>
      </c>
      <c r="M33" s="5">
        <v>10329</v>
      </c>
    </row>
    <row r="34" spans="1:13" ht="15.75" x14ac:dyDescent="0.25">
      <c r="A34" s="5" t="s">
        <v>8</v>
      </c>
      <c r="B34" s="5" t="s">
        <v>113</v>
      </c>
      <c r="C34" s="5">
        <v>1</v>
      </c>
      <c r="D34" s="5">
        <v>10176</v>
      </c>
      <c r="E34" s="5" t="s">
        <v>41</v>
      </c>
      <c r="F34" s="3">
        <v>170000</v>
      </c>
      <c r="G34" s="3" t="s">
        <v>591</v>
      </c>
      <c r="H34" s="3" t="s">
        <v>592</v>
      </c>
      <c r="I34" s="6" t="s">
        <v>588</v>
      </c>
      <c r="J34" s="3" t="s">
        <v>634</v>
      </c>
      <c r="K34" s="7">
        <f>ROUND(14880,2)</f>
        <v>14880</v>
      </c>
      <c r="L34" s="5">
        <v>401033</v>
      </c>
      <c r="M34" s="5">
        <v>10329</v>
      </c>
    </row>
    <row r="35" spans="1:13" ht="31.5" x14ac:dyDescent="0.25">
      <c r="A35" s="5" t="s">
        <v>384</v>
      </c>
      <c r="B35" s="5" t="s">
        <v>402</v>
      </c>
      <c r="C35" s="5">
        <v>1</v>
      </c>
      <c r="D35" s="5">
        <v>3529</v>
      </c>
      <c r="E35" s="5" t="s">
        <v>12</v>
      </c>
      <c r="F35" s="3">
        <v>111200</v>
      </c>
      <c r="G35" s="3" t="s">
        <v>589</v>
      </c>
      <c r="H35" s="3" t="s">
        <v>590</v>
      </c>
      <c r="I35" s="6" t="s">
        <v>588</v>
      </c>
      <c r="J35" s="3" t="s">
        <v>634</v>
      </c>
      <c r="K35" s="7">
        <f>ROUND(5251.85,2)</f>
        <v>5251.85</v>
      </c>
      <c r="L35" s="5">
        <v>400422</v>
      </c>
      <c r="M35" s="5">
        <v>10329</v>
      </c>
    </row>
    <row r="36" spans="1:13" ht="15.75" x14ac:dyDescent="0.25">
      <c r="A36" s="5" t="s">
        <v>397</v>
      </c>
      <c r="B36" s="5" t="s">
        <v>462</v>
      </c>
      <c r="C36" s="5">
        <v>1</v>
      </c>
      <c r="D36" s="5">
        <v>16330</v>
      </c>
      <c r="E36" s="5" t="s">
        <v>93</v>
      </c>
      <c r="F36" s="3">
        <v>370000</v>
      </c>
      <c r="G36" s="3" t="s">
        <v>593</v>
      </c>
      <c r="H36" s="3" t="s">
        <v>594</v>
      </c>
      <c r="I36" s="6" t="s">
        <v>588</v>
      </c>
      <c r="J36" s="3" t="s">
        <v>634</v>
      </c>
      <c r="K36" s="7">
        <f>ROUND(3140.14,2)</f>
        <v>3140.14</v>
      </c>
      <c r="L36" s="5">
        <v>200510</v>
      </c>
      <c r="M36" s="5">
        <v>10329</v>
      </c>
    </row>
    <row r="37" spans="1:13" ht="15.75" x14ac:dyDescent="0.25">
      <c r="A37" s="5" t="s">
        <v>397</v>
      </c>
      <c r="B37" s="5" t="s">
        <v>462</v>
      </c>
      <c r="C37" s="5">
        <v>2</v>
      </c>
      <c r="D37" s="5">
        <v>16330</v>
      </c>
      <c r="E37" s="5" t="s">
        <v>93</v>
      </c>
      <c r="F37" s="3">
        <v>370000</v>
      </c>
      <c r="G37" s="3" t="s">
        <v>593</v>
      </c>
      <c r="H37" s="3" t="s">
        <v>594</v>
      </c>
      <c r="I37" s="6" t="s">
        <v>588</v>
      </c>
      <c r="J37" s="3" t="s">
        <v>634</v>
      </c>
      <c r="K37" s="7">
        <f>ROUND(2958.1,2)</f>
        <v>2958.1</v>
      </c>
      <c r="L37" s="5">
        <v>200510</v>
      </c>
      <c r="M37" s="5">
        <v>10329</v>
      </c>
    </row>
    <row r="38" spans="1:13" ht="15.75" x14ac:dyDescent="0.25">
      <c r="A38" s="5" t="s">
        <v>397</v>
      </c>
      <c r="B38" s="5" t="s">
        <v>462</v>
      </c>
      <c r="C38" s="5">
        <v>3</v>
      </c>
      <c r="D38" s="5">
        <v>16330</v>
      </c>
      <c r="E38" s="5" t="s">
        <v>93</v>
      </c>
      <c r="F38" s="3">
        <v>370000</v>
      </c>
      <c r="G38" s="3" t="s">
        <v>593</v>
      </c>
      <c r="H38" s="3" t="s">
        <v>594</v>
      </c>
      <c r="I38" s="6" t="s">
        <v>588</v>
      </c>
      <c r="J38" s="3" t="s">
        <v>634</v>
      </c>
      <c r="K38" s="7">
        <f>ROUND(2763.37,2)</f>
        <v>2763.37</v>
      </c>
      <c r="L38" s="5">
        <v>200510</v>
      </c>
      <c r="M38" s="5">
        <v>10329</v>
      </c>
    </row>
    <row r="39" spans="1:13" ht="31.5" x14ac:dyDescent="0.25">
      <c r="A39" s="5" t="s">
        <v>397</v>
      </c>
      <c r="B39" s="5" t="s">
        <v>457</v>
      </c>
      <c r="C39" s="5">
        <v>1</v>
      </c>
      <c r="D39" s="5">
        <v>10897</v>
      </c>
      <c r="E39" s="5" t="s">
        <v>37</v>
      </c>
      <c r="F39" s="3">
        <v>390000</v>
      </c>
      <c r="G39" s="3" t="s">
        <v>585</v>
      </c>
      <c r="H39" s="3" t="s">
        <v>586</v>
      </c>
      <c r="I39" s="6" t="s">
        <v>588</v>
      </c>
      <c r="J39" s="3" t="s">
        <v>634</v>
      </c>
      <c r="K39" s="7">
        <f>ROUND(84.67,2)</f>
        <v>84.67</v>
      </c>
      <c r="L39" s="5">
        <v>200123</v>
      </c>
      <c r="M39" s="5">
        <v>10329</v>
      </c>
    </row>
    <row r="40" spans="1:13" ht="31.5" x14ac:dyDescent="0.25">
      <c r="A40" s="5" t="s">
        <v>397</v>
      </c>
      <c r="B40" s="5" t="s">
        <v>457</v>
      </c>
      <c r="C40" s="5">
        <v>2</v>
      </c>
      <c r="D40" s="5">
        <v>10897</v>
      </c>
      <c r="E40" s="5" t="s">
        <v>37</v>
      </c>
      <c r="F40" s="3">
        <v>390000</v>
      </c>
      <c r="G40" s="3" t="s">
        <v>585</v>
      </c>
      <c r="H40" s="3" t="s">
        <v>586</v>
      </c>
      <c r="I40" s="6" t="s">
        <v>588</v>
      </c>
      <c r="J40" s="3" t="s">
        <v>634</v>
      </c>
      <c r="K40" s="7">
        <f>ROUND(141.18,2)</f>
        <v>141.18</v>
      </c>
      <c r="L40" s="5">
        <v>200123</v>
      </c>
      <c r="M40" s="5">
        <v>10329</v>
      </c>
    </row>
    <row r="41" spans="1:13" ht="31.5" x14ac:dyDescent="0.25">
      <c r="A41" s="5" t="s">
        <v>397</v>
      </c>
      <c r="B41" s="5" t="s">
        <v>457</v>
      </c>
      <c r="C41" s="5">
        <v>3</v>
      </c>
      <c r="D41" s="5">
        <v>10897</v>
      </c>
      <c r="E41" s="5" t="s">
        <v>37</v>
      </c>
      <c r="F41" s="3">
        <v>390000</v>
      </c>
      <c r="G41" s="3" t="s">
        <v>585</v>
      </c>
      <c r="H41" s="3" t="s">
        <v>586</v>
      </c>
      <c r="I41" s="6" t="s">
        <v>588</v>
      </c>
      <c r="J41" s="3" t="s">
        <v>634</v>
      </c>
      <c r="K41" s="7">
        <f>ROUND(1878.62,2)</f>
        <v>1878.62</v>
      </c>
      <c r="L41" s="5">
        <v>200123</v>
      </c>
      <c r="M41" s="5">
        <v>10329</v>
      </c>
    </row>
    <row r="42" spans="1:13" ht="31.5" x14ac:dyDescent="0.25">
      <c r="A42" s="5" t="s">
        <v>397</v>
      </c>
      <c r="B42" s="5" t="s">
        <v>457</v>
      </c>
      <c r="C42" s="5">
        <v>4</v>
      </c>
      <c r="D42" s="5">
        <v>10897</v>
      </c>
      <c r="E42" s="5" t="s">
        <v>37</v>
      </c>
      <c r="F42" s="3">
        <v>390000</v>
      </c>
      <c r="G42" s="3" t="s">
        <v>585</v>
      </c>
      <c r="H42" s="3" t="s">
        <v>586</v>
      </c>
      <c r="I42" s="6" t="s">
        <v>588</v>
      </c>
      <c r="J42" s="3" t="s">
        <v>634</v>
      </c>
      <c r="K42" s="7">
        <f>ROUND(2147.64,2)</f>
        <v>2147.64</v>
      </c>
      <c r="L42" s="5">
        <v>200123</v>
      </c>
      <c r="M42" s="5">
        <v>10329</v>
      </c>
    </row>
    <row r="43" spans="1:13" ht="31.5" x14ac:dyDescent="0.25">
      <c r="A43" s="5" t="s">
        <v>397</v>
      </c>
      <c r="B43" s="5" t="s">
        <v>457</v>
      </c>
      <c r="C43" s="5">
        <v>5</v>
      </c>
      <c r="D43" s="5">
        <v>10897</v>
      </c>
      <c r="E43" s="5" t="s">
        <v>37</v>
      </c>
      <c r="F43" s="3">
        <v>390000</v>
      </c>
      <c r="G43" s="3" t="s">
        <v>585</v>
      </c>
      <c r="H43" s="3" t="s">
        <v>586</v>
      </c>
      <c r="I43" s="6" t="s">
        <v>588</v>
      </c>
      <c r="J43" s="3" t="s">
        <v>634</v>
      </c>
      <c r="K43" s="7">
        <f>ROUND(211.98,2)</f>
        <v>211.98</v>
      </c>
      <c r="L43" s="5">
        <v>200123</v>
      </c>
      <c r="M43" s="5">
        <v>10329</v>
      </c>
    </row>
    <row r="44" spans="1:13" ht="31.5" x14ac:dyDescent="0.25">
      <c r="A44" s="5" t="s">
        <v>397</v>
      </c>
      <c r="B44" s="5" t="s">
        <v>457</v>
      </c>
      <c r="C44" s="5">
        <v>6</v>
      </c>
      <c r="D44" s="5">
        <v>10897</v>
      </c>
      <c r="E44" s="5" t="s">
        <v>37</v>
      </c>
      <c r="F44" s="3">
        <v>390000</v>
      </c>
      <c r="G44" s="3" t="s">
        <v>585</v>
      </c>
      <c r="H44" s="3" t="s">
        <v>586</v>
      </c>
      <c r="I44" s="6" t="s">
        <v>588</v>
      </c>
      <c r="J44" s="3" t="s">
        <v>634</v>
      </c>
      <c r="K44" s="7">
        <f>ROUND(306.3,2)</f>
        <v>306.3</v>
      </c>
      <c r="L44" s="5">
        <v>200123</v>
      </c>
      <c r="M44" s="5">
        <v>10329</v>
      </c>
    </row>
    <row r="45" spans="1:13" ht="31.5" x14ac:dyDescent="0.25">
      <c r="A45" s="5" t="s">
        <v>397</v>
      </c>
      <c r="B45" s="5" t="s">
        <v>457</v>
      </c>
      <c r="C45" s="5">
        <v>7</v>
      </c>
      <c r="D45" s="5">
        <v>10897</v>
      </c>
      <c r="E45" s="5" t="s">
        <v>37</v>
      </c>
      <c r="F45" s="3">
        <v>390000</v>
      </c>
      <c r="G45" s="3" t="s">
        <v>585</v>
      </c>
      <c r="H45" s="3" t="s">
        <v>586</v>
      </c>
      <c r="I45" s="6" t="s">
        <v>588</v>
      </c>
      <c r="J45" s="3" t="s">
        <v>634</v>
      </c>
      <c r="K45" s="7">
        <f>ROUND(495.75,2)</f>
        <v>495.75</v>
      </c>
      <c r="L45" s="5">
        <v>200123</v>
      </c>
      <c r="M45" s="5">
        <v>10329</v>
      </c>
    </row>
    <row r="46" spans="1:13" ht="47.25" x14ac:dyDescent="0.25">
      <c r="A46" s="5" t="s">
        <v>304</v>
      </c>
      <c r="B46" s="5" t="s">
        <v>325</v>
      </c>
      <c r="C46" s="5">
        <v>1</v>
      </c>
      <c r="D46" s="5">
        <v>12445</v>
      </c>
      <c r="E46" s="5" t="s">
        <v>326</v>
      </c>
      <c r="F46" s="3">
        <v>270000</v>
      </c>
      <c r="G46" s="3" t="s">
        <v>578</v>
      </c>
      <c r="H46" s="3" t="s">
        <v>579</v>
      </c>
      <c r="I46" s="6" t="s">
        <v>582</v>
      </c>
      <c r="J46" s="3" t="s">
        <v>635</v>
      </c>
      <c r="K46" s="7">
        <f>ROUND(6654,2)</f>
        <v>6654</v>
      </c>
      <c r="L46" s="5">
        <v>402001</v>
      </c>
      <c r="M46" s="5">
        <v>10005</v>
      </c>
    </row>
    <row r="47" spans="1:13" ht="31.5" x14ac:dyDescent="0.25">
      <c r="A47" s="5" t="s">
        <v>301</v>
      </c>
      <c r="B47" s="5" t="s">
        <v>388</v>
      </c>
      <c r="C47" s="5">
        <v>1</v>
      </c>
      <c r="D47" s="5">
        <v>11014</v>
      </c>
      <c r="E47" s="5" t="s">
        <v>90</v>
      </c>
      <c r="F47" s="3">
        <v>181800</v>
      </c>
      <c r="G47" s="3" t="s">
        <v>575</v>
      </c>
      <c r="H47" s="3" t="s">
        <v>576</v>
      </c>
      <c r="I47" s="6" t="s">
        <v>582</v>
      </c>
      <c r="J47" s="3" t="s">
        <v>635</v>
      </c>
      <c r="K47" s="7">
        <f>ROUND(24595.2,2)</f>
        <v>24595.200000000001</v>
      </c>
      <c r="L47" s="5">
        <v>400110</v>
      </c>
      <c r="M47" s="5">
        <v>10005</v>
      </c>
    </row>
    <row r="48" spans="1:13" ht="47.25" x14ac:dyDescent="0.25">
      <c r="A48" s="5" t="s">
        <v>301</v>
      </c>
      <c r="B48" s="5" t="s">
        <v>392</v>
      </c>
      <c r="C48" s="5">
        <v>1</v>
      </c>
      <c r="D48" s="5">
        <v>10107</v>
      </c>
      <c r="E48" s="5" t="s">
        <v>393</v>
      </c>
      <c r="F48" s="3">
        <v>270000</v>
      </c>
      <c r="G48" s="3" t="s">
        <v>578</v>
      </c>
      <c r="H48" s="3" t="s">
        <v>579</v>
      </c>
      <c r="I48" s="6" t="s">
        <v>582</v>
      </c>
      <c r="J48" s="3" t="s">
        <v>635</v>
      </c>
      <c r="K48" s="7">
        <f>ROUND(8487.87,2)</f>
        <v>8487.8700000000008</v>
      </c>
      <c r="L48" s="5">
        <v>402001</v>
      </c>
      <c r="M48" s="5">
        <v>10005</v>
      </c>
    </row>
    <row r="49" spans="1:13" ht="15.75" x14ac:dyDescent="0.25">
      <c r="A49" s="5" t="s">
        <v>7</v>
      </c>
      <c r="B49" s="5" t="s">
        <v>43</v>
      </c>
      <c r="C49" s="5">
        <v>1</v>
      </c>
      <c r="D49" s="5">
        <v>12793</v>
      </c>
      <c r="E49" s="5" t="s">
        <v>44</v>
      </c>
      <c r="F49" s="3">
        <v>999999</v>
      </c>
      <c r="G49" s="3" t="s">
        <v>592</v>
      </c>
      <c r="H49" s="3" t="s">
        <v>592</v>
      </c>
      <c r="I49" s="6" t="s">
        <v>588</v>
      </c>
      <c r="J49" s="3" t="s">
        <v>636</v>
      </c>
      <c r="K49" s="7">
        <f>ROUND(6000,2)</f>
        <v>6000</v>
      </c>
      <c r="L49" s="5">
        <v>401035</v>
      </c>
      <c r="M49" s="5">
        <v>12968</v>
      </c>
    </row>
    <row r="50" spans="1:13" ht="31.5" x14ac:dyDescent="0.25">
      <c r="A50" s="5" t="s">
        <v>7</v>
      </c>
      <c r="B50" s="5" t="s">
        <v>75</v>
      </c>
      <c r="C50" s="5">
        <v>1</v>
      </c>
      <c r="D50" s="5">
        <v>13281</v>
      </c>
      <c r="E50" s="5" t="s">
        <v>76</v>
      </c>
      <c r="F50" s="3">
        <v>320000</v>
      </c>
      <c r="G50" s="3" t="s">
        <v>595</v>
      </c>
      <c r="H50" s="3" t="s">
        <v>596</v>
      </c>
      <c r="I50" s="6" t="s">
        <v>588</v>
      </c>
      <c r="J50" s="3" t="s">
        <v>637</v>
      </c>
      <c r="K50" s="7">
        <f>ROUND(63297,2)</f>
        <v>63297</v>
      </c>
      <c r="L50" s="5">
        <v>530306</v>
      </c>
      <c r="M50" s="5">
        <v>12957</v>
      </c>
    </row>
    <row r="51" spans="1:13" ht="47.25" x14ac:dyDescent="0.25">
      <c r="A51" s="5" t="s">
        <v>8</v>
      </c>
      <c r="B51" s="5" t="s">
        <v>126</v>
      </c>
      <c r="C51" s="5">
        <v>1</v>
      </c>
      <c r="D51" s="5">
        <v>5555</v>
      </c>
      <c r="E51" s="5" t="s">
        <v>127</v>
      </c>
      <c r="F51" s="3">
        <v>261100</v>
      </c>
      <c r="G51" s="3" t="s">
        <v>597</v>
      </c>
      <c r="H51" s="3" t="s">
        <v>598</v>
      </c>
      <c r="I51" s="6" t="s">
        <v>588</v>
      </c>
      <c r="J51" s="3" t="s">
        <v>638</v>
      </c>
      <c r="K51" s="7">
        <f>ROUND(5639.9,2)</f>
        <v>5639.9</v>
      </c>
      <c r="L51" s="5">
        <v>401023</v>
      </c>
      <c r="M51" s="5">
        <v>10307</v>
      </c>
    </row>
    <row r="52" spans="1:13" ht="15.75" x14ac:dyDescent="0.25">
      <c r="A52" s="5" t="s">
        <v>32</v>
      </c>
      <c r="B52" s="5" t="s">
        <v>91</v>
      </c>
      <c r="C52" s="5">
        <v>1</v>
      </c>
      <c r="D52" s="5">
        <v>12675</v>
      </c>
      <c r="E52" s="5" t="s">
        <v>72</v>
      </c>
      <c r="F52" s="3">
        <v>999999</v>
      </c>
      <c r="G52" s="3" t="s">
        <v>592</v>
      </c>
      <c r="H52" s="3" t="s">
        <v>592</v>
      </c>
      <c r="I52" s="6" t="s">
        <v>588</v>
      </c>
      <c r="J52" s="3" t="s">
        <v>636</v>
      </c>
      <c r="K52" s="7">
        <f>ROUND(6000,2)</f>
        <v>6000</v>
      </c>
      <c r="L52" s="5">
        <v>401035</v>
      </c>
      <c r="M52" s="5">
        <v>12968</v>
      </c>
    </row>
    <row r="53" spans="1:13" ht="31.5" x14ac:dyDescent="0.25">
      <c r="A53" s="5" t="s">
        <v>22</v>
      </c>
      <c r="B53" s="5" t="s">
        <v>131</v>
      </c>
      <c r="C53" s="5">
        <v>1</v>
      </c>
      <c r="D53" s="5">
        <v>16815</v>
      </c>
      <c r="E53" s="5" t="s">
        <v>132</v>
      </c>
      <c r="F53" s="3">
        <v>320000</v>
      </c>
      <c r="G53" s="3" t="s">
        <v>595</v>
      </c>
      <c r="H53" s="3" t="s">
        <v>596</v>
      </c>
      <c r="I53" s="6" t="s">
        <v>588</v>
      </c>
      <c r="J53" s="3" t="s">
        <v>637</v>
      </c>
      <c r="K53" s="7">
        <f>ROUND(65409,2)</f>
        <v>65409</v>
      </c>
      <c r="L53" s="5">
        <v>530306</v>
      </c>
      <c r="M53" s="5">
        <v>12957</v>
      </c>
    </row>
    <row r="54" spans="1:13" ht="15.75" x14ac:dyDescent="0.25">
      <c r="A54" s="5" t="s">
        <v>22</v>
      </c>
      <c r="B54" s="5" t="s">
        <v>99</v>
      </c>
      <c r="C54" s="5">
        <v>1</v>
      </c>
      <c r="D54" s="5">
        <v>9891</v>
      </c>
      <c r="E54" s="5" t="s">
        <v>100</v>
      </c>
      <c r="F54" s="3">
        <v>200000</v>
      </c>
      <c r="G54" s="3" t="s">
        <v>599</v>
      </c>
      <c r="H54" s="3" t="s">
        <v>592</v>
      </c>
      <c r="I54" s="6" t="s">
        <v>588</v>
      </c>
      <c r="J54" s="3" t="s">
        <v>637</v>
      </c>
      <c r="K54" s="7">
        <f>ROUND(50991.02,2)</f>
        <v>50991.02</v>
      </c>
      <c r="L54" s="5">
        <v>402401</v>
      </c>
      <c r="M54" s="5">
        <v>12957</v>
      </c>
    </row>
    <row r="55" spans="1:13" ht="31.5" x14ac:dyDescent="0.25">
      <c r="A55" s="5" t="s">
        <v>135</v>
      </c>
      <c r="B55" s="5" t="s">
        <v>171</v>
      </c>
      <c r="C55" s="5">
        <v>1</v>
      </c>
      <c r="D55" s="5">
        <v>1844</v>
      </c>
      <c r="E55" s="5" t="s">
        <v>47</v>
      </c>
      <c r="F55" s="3">
        <v>210000</v>
      </c>
      <c r="G55" s="3" t="s">
        <v>600</v>
      </c>
      <c r="H55" s="3" t="s">
        <v>576</v>
      </c>
      <c r="I55" s="6" t="s">
        <v>588</v>
      </c>
      <c r="J55" s="3" t="s">
        <v>639</v>
      </c>
      <c r="K55" s="7">
        <f>ROUND(8900,2)</f>
        <v>8900</v>
      </c>
      <c r="L55" s="5">
        <v>400105</v>
      </c>
      <c r="M55" s="5">
        <v>10417</v>
      </c>
    </row>
    <row r="56" spans="1:13" ht="31.5" x14ac:dyDescent="0.25">
      <c r="A56" s="5" t="s">
        <v>135</v>
      </c>
      <c r="B56" s="5" t="s">
        <v>171</v>
      </c>
      <c r="C56" s="5">
        <v>2</v>
      </c>
      <c r="D56" s="5">
        <v>1844</v>
      </c>
      <c r="E56" s="5" t="s">
        <v>47</v>
      </c>
      <c r="F56" s="3">
        <v>210000</v>
      </c>
      <c r="G56" s="3" t="s">
        <v>600</v>
      </c>
      <c r="H56" s="3" t="s">
        <v>576</v>
      </c>
      <c r="I56" s="6" t="s">
        <v>588</v>
      </c>
      <c r="J56" s="3" t="s">
        <v>639</v>
      </c>
      <c r="K56" s="7">
        <f>ROUND(528,2)</f>
        <v>528</v>
      </c>
      <c r="L56" s="5">
        <v>400105</v>
      </c>
      <c r="M56" s="5">
        <v>10417</v>
      </c>
    </row>
    <row r="57" spans="1:13" ht="31.5" x14ac:dyDescent="0.25">
      <c r="A57" s="5" t="s">
        <v>159</v>
      </c>
      <c r="B57" s="5" t="s">
        <v>284</v>
      </c>
      <c r="C57" s="5">
        <v>1</v>
      </c>
      <c r="D57" s="5">
        <v>8766</v>
      </c>
      <c r="E57" s="5" t="s">
        <v>92</v>
      </c>
      <c r="F57" s="3">
        <v>320000</v>
      </c>
      <c r="G57" s="3" t="s">
        <v>595</v>
      </c>
      <c r="H57" s="3" t="s">
        <v>596</v>
      </c>
      <c r="I57" s="6" t="s">
        <v>588</v>
      </c>
      <c r="J57" s="3" t="s">
        <v>637</v>
      </c>
      <c r="K57" s="7">
        <f>ROUND(39245,2)</f>
        <v>39245</v>
      </c>
      <c r="L57" s="5">
        <v>530306</v>
      </c>
      <c r="M57" s="5">
        <v>12957</v>
      </c>
    </row>
    <row r="58" spans="1:13" ht="15.75" x14ac:dyDescent="0.25">
      <c r="A58" s="5" t="s">
        <v>159</v>
      </c>
      <c r="B58" s="5" t="s">
        <v>287</v>
      </c>
      <c r="C58" s="5">
        <v>1</v>
      </c>
      <c r="D58" s="5">
        <v>1756</v>
      </c>
      <c r="E58" s="5" t="s">
        <v>118</v>
      </c>
      <c r="F58" s="3">
        <v>200000</v>
      </c>
      <c r="G58" s="3" t="s">
        <v>599</v>
      </c>
      <c r="H58" s="3" t="s">
        <v>592</v>
      </c>
      <c r="I58" s="6" t="s">
        <v>588</v>
      </c>
      <c r="J58" s="3" t="s">
        <v>637</v>
      </c>
      <c r="K58" s="7">
        <f>ROUND(15117.98,2)</f>
        <v>15117.98</v>
      </c>
      <c r="L58" s="5">
        <v>402401</v>
      </c>
      <c r="M58" s="5">
        <v>12957</v>
      </c>
    </row>
    <row r="59" spans="1:13" ht="15.75" x14ac:dyDescent="0.25">
      <c r="A59" s="5" t="s">
        <v>205</v>
      </c>
      <c r="B59" s="5" t="s">
        <v>308</v>
      </c>
      <c r="C59" s="5">
        <v>1</v>
      </c>
      <c r="D59" s="5">
        <v>35</v>
      </c>
      <c r="E59" s="5" t="s">
        <v>15</v>
      </c>
      <c r="F59" s="3">
        <v>999999</v>
      </c>
      <c r="G59" s="3" t="s">
        <v>592</v>
      </c>
      <c r="H59" s="3" t="s">
        <v>592</v>
      </c>
      <c r="I59" s="6" t="s">
        <v>588</v>
      </c>
      <c r="J59" s="3" t="s">
        <v>640</v>
      </c>
      <c r="K59" s="7">
        <f>ROUND(6490,2)</f>
        <v>6490</v>
      </c>
      <c r="L59" s="5">
        <v>402404</v>
      </c>
      <c r="M59" s="5">
        <v>11501</v>
      </c>
    </row>
    <row r="60" spans="1:13" ht="15.75" x14ac:dyDescent="0.25">
      <c r="A60" s="5" t="s">
        <v>304</v>
      </c>
      <c r="B60" s="5" t="s">
        <v>314</v>
      </c>
      <c r="C60" s="5">
        <v>1</v>
      </c>
      <c r="D60" s="5">
        <v>11417</v>
      </c>
      <c r="E60" s="5" t="s">
        <v>315</v>
      </c>
      <c r="F60" s="3">
        <v>999999</v>
      </c>
      <c r="G60" s="3" t="s">
        <v>592</v>
      </c>
      <c r="H60" s="3" t="s">
        <v>592</v>
      </c>
      <c r="I60" s="6" t="s">
        <v>588</v>
      </c>
      <c r="J60" s="3" t="s">
        <v>636</v>
      </c>
      <c r="K60" s="7">
        <f>ROUND(5520,2)</f>
        <v>5520</v>
      </c>
      <c r="L60" s="5">
        <v>401035</v>
      </c>
      <c r="M60" s="5">
        <v>12968</v>
      </c>
    </row>
    <row r="61" spans="1:13" ht="15.75" x14ac:dyDescent="0.25">
      <c r="A61" s="5" t="s">
        <v>14</v>
      </c>
      <c r="B61" s="5" t="s">
        <v>360</v>
      </c>
      <c r="C61" s="5">
        <v>1</v>
      </c>
      <c r="D61" s="5">
        <v>16383</v>
      </c>
      <c r="E61" s="5" t="s">
        <v>74</v>
      </c>
      <c r="F61" s="3">
        <v>999999</v>
      </c>
      <c r="G61" s="3" t="s">
        <v>592</v>
      </c>
      <c r="H61" s="3" t="s">
        <v>592</v>
      </c>
      <c r="I61" s="6" t="s">
        <v>588</v>
      </c>
      <c r="J61" s="3" t="s">
        <v>636</v>
      </c>
      <c r="K61" s="7">
        <f>ROUND(5980,2)</f>
        <v>5980</v>
      </c>
      <c r="L61" s="5">
        <v>401035</v>
      </c>
      <c r="M61" s="5">
        <v>12968</v>
      </c>
    </row>
    <row r="62" spans="1:13" ht="31.5" x14ac:dyDescent="0.25">
      <c r="A62" s="5" t="s">
        <v>384</v>
      </c>
      <c r="B62" s="5" t="s">
        <v>403</v>
      </c>
      <c r="C62" s="5">
        <v>1</v>
      </c>
      <c r="D62" s="5">
        <v>8766</v>
      </c>
      <c r="E62" s="5" t="s">
        <v>92</v>
      </c>
      <c r="F62" s="3">
        <v>320000</v>
      </c>
      <c r="G62" s="3" t="s">
        <v>595</v>
      </c>
      <c r="H62" s="3" t="s">
        <v>596</v>
      </c>
      <c r="I62" s="6" t="s">
        <v>588</v>
      </c>
      <c r="J62" s="3" t="s">
        <v>637</v>
      </c>
      <c r="K62" s="7">
        <f>ROUND(39245,2)</f>
        <v>39245</v>
      </c>
      <c r="L62" s="5">
        <v>530306</v>
      </c>
      <c r="M62" s="5">
        <v>12957</v>
      </c>
    </row>
    <row r="63" spans="1:13" ht="31.5" x14ac:dyDescent="0.25">
      <c r="A63" s="5" t="s">
        <v>323</v>
      </c>
      <c r="B63" s="5" t="s">
        <v>412</v>
      </c>
      <c r="C63" s="5">
        <v>1</v>
      </c>
      <c r="D63" s="5">
        <v>8766</v>
      </c>
      <c r="E63" s="5" t="s">
        <v>92</v>
      </c>
      <c r="F63" s="3">
        <v>320000</v>
      </c>
      <c r="G63" s="3" t="s">
        <v>595</v>
      </c>
      <c r="H63" s="3" t="s">
        <v>596</v>
      </c>
      <c r="I63" s="6" t="s">
        <v>588</v>
      </c>
      <c r="J63" s="3" t="s">
        <v>637</v>
      </c>
      <c r="K63" s="7">
        <f>ROUND(39245,2)</f>
        <v>39245</v>
      </c>
      <c r="L63" s="5">
        <v>530306</v>
      </c>
      <c r="M63" s="5">
        <v>12957</v>
      </c>
    </row>
    <row r="64" spans="1:13" ht="15.75" x14ac:dyDescent="0.25">
      <c r="A64" s="5" t="s">
        <v>423</v>
      </c>
      <c r="B64" s="5" t="s">
        <v>424</v>
      </c>
      <c r="C64" s="5">
        <v>1</v>
      </c>
      <c r="D64" s="5">
        <v>12675</v>
      </c>
      <c r="E64" s="5" t="s">
        <v>72</v>
      </c>
      <c r="F64" s="3">
        <v>999999</v>
      </c>
      <c r="G64" s="3" t="s">
        <v>592</v>
      </c>
      <c r="H64" s="3" t="s">
        <v>592</v>
      </c>
      <c r="I64" s="6" t="s">
        <v>588</v>
      </c>
      <c r="J64" s="3" t="s">
        <v>636</v>
      </c>
      <c r="K64" s="7">
        <f>ROUND(6000,2)</f>
        <v>6000</v>
      </c>
      <c r="L64" s="5">
        <v>401035</v>
      </c>
      <c r="M64" s="5">
        <v>12968</v>
      </c>
    </row>
    <row r="65" spans="1:13" ht="47.25" x14ac:dyDescent="0.25">
      <c r="A65" s="5" t="s">
        <v>293</v>
      </c>
      <c r="B65" s="5" t="s">
        <v>396</v>
      </c>
      <c r="C65" s="5">
        <v>1</v>
      </c>
      <c r="D65" s="5">
        <v>5555</v>
      </c>
      <c r="E65" s="5" t="s">
        <v>127</v>
      </c>
      <c r="F65" s="3">
        <v>261100</v>
      </c>
      <c r="G65" s="3" t="s">
        <v>597</v>
      </c>
      <c r="H65" s="3" t="s">
        <v>598</v>
      </c>
      <c r="I65" s="6" t="s">
        <v>588</v>
      </c>
      <c r="J65" s="3" t="s">
        <v>638</v>
      </c>
      <c r="K65" s="7">
        <f>ROUND(5630,2)</f>
        <v>5630</v>
      </c>
      <c r="L65" s="5">
        <v>401023</v>
      </c>
      <c r="M65" s="5">
        <v>10307</v>
      </c>
    </row>
    <row r="66" spans="1:13" ht="47.25" x14ac:dyDescent="0.25">
      <c r="A66" s="5" t="s">
        <v>293</v>
      </c>
      <c r="B66" s="5" t="s">
        <v>396</v>
      </c>
      <c r="C66" s="5">
        <v>2</v>
      </c>
      <c r="D66" s="5">
        <v>5555</v>
      </c>
      <c r="E66" s="5" t="s">
        <v>127</v>
      </c>
      <c r="F66" s="3">
        <v>261100</v>
      </c>
      <c r="G66" s="3" t="s">
        <v>597</v>
      </c>
      <c r="H66" s="3" t="s">
        <v>598</v>
      </c>
      <c r="I66" s="6" t="s">
        <v>588</v>
      </c>
      <c r="J66" s="3" t="s">
        <v>638</v>
      </c>
      <c r="K66" s="7">
        <f>ROUND(179.31,2)</f>
        <v>179.31</v>
      </c>
      <c r="L66" s="5">
        <v>401023</v>
      </c>
      <c r="M66" s="5">
        <v>10307</v>
      </c>
    </row>
    <row r="67" spans="1:13" ht="15.75" x14ac:dyDescent="0.25">
      <c r="A67" s="5" t="s">
        <v>351</v>
      </c>
      <c r="B67" s="5" t="s">
        <v>453</v>
      </c>
      <c r="C67" s="5">
        <v>1</v>
      </c>
      <c r="D67" s="5">
        <v>12298</v>
      </c>
      <c r="E67" s="5" t="s">
        <v>73</v>
      </c>
      <c r="F67" s="3">
        <v>999999</v>
      </c>
      <c r="G67" s="3" t="s">
        <v>592</v>
      </c>
      <c r="H67" s="3" t="s">
        <v>592</v>
      </c>
      <c r="I67" s="6" t="s">
        <v>588</v>
      </c>
      <c r="J67" s="3" t="s">
        <v>636</v>
      </c>
      <c r="K67" s="7">
        <f>ROUND(5816,2)</f>
        <v>5816</v>
      </c>
      <c r="L67" s="5">
        <v>401035</v>
      </c>
      <c r="M67" s="5">
        <v>12968</v>
      </c>
    </row>
    <row r="68" spans="1:13" ht="31.5" x14ac:dyDescent="0.25">
      <c r="A68" s="5" t="s">
        <v>397</v>
      </c>
      <c r="B68" s="5" t="s">
        <v>439</v>
      </c>
      <c r="C68" s="5">
        <v>1</v>
      </c>
      <c r="D68" s="5">
        <v>1844</v>
      </c>
      <c r="E68" s="5" t="s">
        <v>47</v>
      </c>
      <c r="F68" s="3">
        <v>181800</v>
      </c>
      <c r="G68" s="3" t="s">
        <v>575</v>
      </c>
      <c r="H68" s="3" t="s">
        <v>576</v>
      </c>
      <c r="I68" s="6" t="s">
        <v>588</v>
      </c>
      <c r="J68" s="3" t="s">
        <v>639</v>
      </c>
      <c r="K68" s="7">
        <f>ROUND(6210,2)</f>
        <v>6210</v>
      </c>
      <c r="L68" s="5">
        <v>400110</v>
      </c>
      <c r="M68" s="5">
        <v>10417</v>
      </c>
    </row>
    <row r="69" spans="1:13" ht="31.5" x14ac:dyDescent="0.25">
      <c r="A69" s="5" t="s">
        <v>397</v>
      </c>
      <c r="B69" s="5" t="s">
        <v>439</v>
      </c>
      <c r="C69" s="5">
        <v>2</v>
      </c>
      <c r="D69" s="5">
        <v>1844</v>
      </c>
      <c r="E69" s="5" t="s">
        <v>47</v>
      </c>
      <c r="F69" s="3">
        <v>181800</v>
      </c>
      <c r="G69" s="3" t="s">
        <v>575</v>
      </c>
      <c r="H69" s="3" t="s">
        <v>576</v>
      </c>
      <c r="I69" s="6" t="s">
        <v>588</v>
      </c>
      <c r="J69" s="3" t="s">
        <v>639</v>
      </c>
      <c r="K69" s="7">
        <f>ROUND(1920,2)</f>
        <v>1920</v>
      </c>
      <c r="L69" s="5">
        <v>400110</v>
      </c>
      <c r="M69" s="5">
        <v>10417</v>
      </c>
    </row>
    <row r="70" spans="1:13" ht="31.5" x14ac:dyDescent="0.25">
      <c r="A70" s="5" t="s">
        <v>397</v>
      </c>
      <c r="B70" s="5" t="s">
        <v>439</v>
      </c>
      <c r="C70" s="5">
        <v>3</v>
      </c>
      <c r="D70" s="5">
        <v>1844</v>
      </c>
      <c r="E70" s="5" t="s">
        <v>47</v>
      </c>
      <c r="F70" s="3">
        <v>181800</v>
      </c>
      <c r="G70" s="3" t="s">
        <v>575</v>
      </c>
      <c r="H70" s="3" t="s">
        <v>576</v>
      </c>
      <c r="I70" s="6" t="s">
        <v>588</v>
      </c>
      <c r="J70" s="3" t="s">
        <v>639</v>
      </c>
      <c r="K70" s="7">
        <f>ROUND(1920,2)</f>
        <v>1920</v>
      </c>
      <c r="L70" s="5">
        <v>400110</v>
      </c>
      <c r="M70" s="5">
        <v>10417</v>
      </c>
    </row>
    <row r="71" spans="1:13" ht="31.5" x14ac:dyDescent="0.25">
      <c r="A71" s="5" t="s">
        <v>397</v>
      </c>
      <c r="B71" s="5" t="s">
        <v>439</v>
      </c>
      <c r="C71" s="5">
        <v>4</v>
      </c>
      <c r="D71" s="5">
        <v>1844</v>
      </c>
      <c r="E71" s="5" t="s">
        <v>47</v>
      </c>
      <c r="F71" s="3">
        <v>181800</v>
      </c>
      <c r="G71" s="3" t="s">
        <v>575</v>
      </c>
      <c r="H71" s="3" t="s">
        <v>576</v>
      </c>
      <c r="I71" s="6" t="s">
        <v>588</v>
      </c>
      <c r="J71" s="3" t="s">
        <v>639</v>
      </c>
      <c r="K71" s="7">
        <f>ROUND(1145,2)</f>
        <v>1145</v>
      </c>
      <c r="L71" s="5">
        <v>400110</v>
      </c>
      <c r="M71" s="5">
        <v>10417</v>
      </c>
    </row>
    <row r="72" spans="1:13" ht="31.5" x14ac:dyDescent="0.25">
      <c r="A72" s="5" t="s">
        <v>397</v>
      </c>
      <c r="B72" s="5" t="s">
        <v>439</v>
      </c>
      <c r="C72" s="5">
        <v>5</v>
      </c>
      <c r="D72" s="5">
        <v>1844</v>
      </c>
      <c r="E72" s="5" t="s">
        <v>47</v>
      </c>
      <c r="F72" s="3">
        <v>181800</v>
      </c>
      <c r="G72" s="3" t="s">
        <v>575</v>
      </c>
      <c r="H72" s="3" t="s">
        <v>576</v>
      </c>
      <c r="I72" s="6" t="s">
        <v>588</v>
      </c>
      <c r="J72" s="3" t="s">
        <v>639</v>
      </c>
      <c r="K72" s="7">
        <f>ROUND(118.5,2)</f>
        <v>118.5</v>
      </c>
      <c r="L72" s="5">
        <v>400110</v>
      </c>
      <c r="M72" s="5">
        <v>10417</v>
      </c>
    </row>
    <row r="73" spans="1:13" ht="31.5" x14ac:dyDescent="0.25">
      <c r="A73" s="5" t="s">
        <v>397</v>
      </c>
      <c r="B73" s="5" t="s">
        <v>439</v>
      </c>
      <c r="C73" s="5">
        <v>6</v>
      </c>
      <c r="D73" s="5">
        <v>1844</v>
      </c>
      <c r="E73" s="5" t="s">
        <v>47</v>
      </c>
      <c r="F73" s="3">
        <v>181800</v>
      </c>
      <c r="G73" s="3" t="s">
        <v>575</v>
      </c>
      <c r="H73" s="3" t="s">
        <v>576</v>
      </c>
      <c r="I73" s="6" t="s">
        <v>588</v>
      </c>
      <c r="J73" s="3" t="s">
        <v>639</v>
      </c>
      <c r="K73" s="7">
        <f>ROUND(118.5,2)</f>
        <v>118.5</v>
      </c>
      <c r="L73" s="5">
        <v>400110</v>
      </c>
      <c r="M73" s="5">
        <v>10417</v>
      </c>
    </row>
    <row r="74" spans="1:13" ht="31.5" x14ac:dyDescent="0.25">
      <c r="A74" s="5" t="s">
        <v>397</v>
      </c>
      <c r="B74" s="5" t="s">
        <v>439</v>
      </c>
      <c r="C74" s="5">
        <v>7</v>
      </c>
      <c r="D74" s="5">
        <v>1844</v>
      </c>
      <c r="E74" s="5" t="s">
        <v>47</v>
      </c>
      <c r="F74" s="3">
        <v>181800</v>
      </c>
      <c r="G74" s="3" t="s">
        <v>575</v>
      </c>
      <c r="H74" s="3" t="s">
        <v>576</v>
      </c>
      <c r="I74" s="6" t="s">
        <v>588</v>
      </c>
      <c r="J74" s="3" t="s">
        <v>639</v>
      </c>
      <c r="K74" s="7">
        <f>ROUND(137.5,2)</f>
        <v>137.5</v>
      </c>
      <c r="L74" s="5">
        <v>400110</v>
      </c>
      <c r="M74" s="5">
        <v>10417</v>
      </c>
    </row>
    <row r="75" spans="1:13" ht="31.5" x14ac:dyDescent="0.25">
      <c r="A75" s="5" t="s">
        <v>344</v>
      </c>
      <c r="B75" s="5" t="s">
        <v>469</v>
      </c>
      <c r="C75" s="5">
        <v>1</v>
      </c>
      <c r="D75" s="5">
        <v>837</v>
      </c>
      <c r="E75" s="5" t="s">
        <v>470</v>
      </c>
      <c r="F75" s="3">
        <v>320000</v>
      </c>
      <c r="G75" s="3" t="s">
        <v>595</v>
      </c>
      <c r="H75" s="3" t="s">
        <v>596</v>
      </c>
      <c r="I75" s="6" t="s">
        <v>588</v>
      </c>
      <c r="J75" s="3" t="s">
        <v>637</v>
      </c>
      <c r="K75" s="7">
        <f>ROUND(27000,2)</f>
        <v>27000</v>
      </c>
      <c r="L75" s="5">
        <v>530306</v>
      </c>
      <c r="M75" s="5">
        <v>12957</v>
      </c>
    </row>
    <row r="76" spans="1:13" ht="15.75" x14ac:dyDescent="0.25">
      <c r="A76" s="5" t="s">
        <v>373</v>
      </c>
      <c r="B76" s="5" t="s">
        <v>479</v>
      </c>
      <c r="C76" s="5">
        <v>1</v>
      </c>
      <c r="D76" s="5">
        <v>14236</v>
      </c>
      <c r="E76" s="5" t="s">
        <v>480</v>
      </c>
      <c r="F76" s="3">
        <v>150000</v>
      </c>
      <c r="G76" s="3" t="s">
        <v>601</v>
      </c>
      <c r="H76" s="3" t="s">
        <v>598</v>
      </c>
      <c r="I76" s="6" t="s">
        <v>588</v>
      </c>
      <c r="J76" s="3" t="s">
        <v>641</v>
      </c>
      <c r="K76" s="7">
        <f>ROUND(9950,2)</f>
        <v>9950</v>
      </c>
      <c r="L76" s="5">
        <v>401020</v>
      </c>
      <c r="M76" s="5">
        <v>13191</v>
      </c>
    </row>
    <row r="77" spans="1:13" ht="15.75" x14ac:dyDescent="0.25">
      <c r="A77" s="5" t="s">
        <v>460</v>
      </c>
      <c r="B77" s="5" t="s">
        <v>489</v>
      </c>
      <c r="C77" s="5">
        <v>1</v>
      </c>
      <c r="D77" s="5">
        <v>12298</v>
      </c>
      <c r="E77" s="5" t="s">
        <v>73</v>
      </c>
      <c r="F77" s="3">
        <v>999999</v>
      </c>
      <c r="G77" s="3" t="s">
        <v>592</v>
      </c>
      <c r="H77" s="3" t="s">
        <v>592</v>
      </c>
      <c r="I77" s="6" t="s">
        <v>588</v>
      </c>
      <c r="J77" s="3" t="s">
        <v>636</v>
      </c>
      <c r="K77" s="7">
        <f>ROUND(6525,2)</f>
        <v>6525</v>
      </c>
      <c r="L77" s="5">
        <v>401035</v>
      </c>
      <c r="M77" s="5">
        <v>12968</v>
      </c>
    </row>
    <row r="78" spans="1:13" ht="15.75" x14ac:dyDescent="0.25">
      <c r="A78" s="5" t="s">
        <v>451</v>
      </c>
      <c r="B78" s="5" t="s">
        <v>502</v>
      </c>
      <c r="C78" s="5">
        <v>1</v>
      </c>
      <c r="D78" s="5">
        <v>11986</v>
      </c>
      <c r="E78" s="5" t="s">
        <v>503</v>
      </c>
      <c r="F78" s="3">
        <v>150000</v>
      </c>
      <c r="G78" s="3" t="s">
        <v>601</v>
      </c>
      <c r="H78" s="3" t="s">
        <v>598</v>
      </c>
      <c r="I78" s="6" t="s">
        <v>588</v>
      </c>
      <c r="J78" s="3" t="s">
        <v>642</v>
      </c>
      <c r="K78" s="7">
        <f>ROUND(6384,2)</f>
        <v>6384</v>
      </c>
      <c r="L78" s="5">
        <v>401020</v>
      </c>
      <c r="M78" s="5">
        <v>13147</v>
      </c>
    </row>
    <row r="79" spans="1:13" ht="15.75" x14ac:dyDescent="0.25">
      <c r="A79" s="5" t="s">
        <v>508</v>
      </c>
      <c r="B79" s="5" t="s">
        <v>546</v>
      </c>
      <c r="C79" s="5">
        <v>1</v>
      </c>
      <c r="D79" s="5">
        <v>14164</v>
      </c>
      <c r="E79" s="5" t="s">
        <v>379</v>
      </c>
      <c r="F79" s="3">
        <v>999999</v>
      </c>
      <c r="G79" s="3" t="s">
        <v>592</v>
      </c>
      <c r="H79" s="3" t="s">
        <v>592</v>
      </c>
      <c r="I79" s="6" t="s">
        <v>588</v>
      </c>
      <c r="J79" s="3" t="s">
        <v>636</v>
      </c>
      <c r="K79" s="7">
        <f>ROUND(7100,2)</f>
        <v>7100</v>
      </c>
      <c r="L79" s="5">
        <v>401035</v>
      </c>
      <c r="M79" s="5">
        <v>12968</v>
      </c>
    </row>
    <row r="80" spans="1:13" ht="31.5" x14ac:dyDescent="0.25">
      <c r="A80" s="5" t="s">
        <v>508</v>
      </c>
      <c r="B80" s="5" t="s">
        <v>547</v>
      </c>
      <c r="C80" s="5">
        <v>1</v>
      </c>
      <c r="D80" s="5">
        <v>16844</v>
      </c>
      <c r="E80" s="5" t="s">
        <v>548</v>
      </c>
      <c r="F80" s="3">
        <v>320000</v>
      </c>
      <c r="G80" s="3" t="s">
        <v>595</v>
      </c>
      <c r="H80" s="3" t="s">
        <v>596</v>
      </c>
      <c r="I80" s="6" t="s">
        <v>588</v>
      </c>
      <c r="J80" s="3" t="s">
        <v>637</v>
      </c>
      <c r="K80" s="7">
        <f>ROUND(69627,2)</f>
        <v>69627</v>
      </c>
      <c r="L80" s="5">
        <v>530306</v>
      </c>
      <c r="M80" s="5">
        <v>12957</v>
      </c>
    </row>
    <row r="81" spans="1:13" ht="47.25" x14ac:dyDescent="0.25">
      <c r="A81" s="5" t="s">
        <v>1</v>
      </c>
      <c r="B81" s="5" t="s">
        <v>35</v>
      </c>
      <c r="C81" s="5">
        <v>1</v>
      </c>
      <c r="D81" s="5">
        <v>16209</v>
      </c>
      <c r="E81" s="5" t="s">
        <v>36</v>
      </c>
      <c r="F81" s="3">
        <v>270000</v>
      </c>
      <c r="G81" s="3" t="s">
        <v>578</v>
      </c>
      <c r="H81" s="3" t="s">
        <v>579</v>
      </c>
      <c r="I81" s="6" t="s">
        <v>588</v>
      </c>
      <c r="J81" s="3" t="s">
        <v>643</v>
      </c>
      <c r="K81" s="7">
        <f>ROUND(19020,2)</f>
        <v>19020</v>
      </c>
      <c r="L81" s="5">
        <v>402001</v>
      </c>
      <c r="M81" s="5">
        <v>10727</v>
      </c>
    </row>
    <row r="82" spans="1:13" ht="47.25" x14ac:dyDescent="0.25">
      <c r="A82" s="5" t="s">
        <v>1</v>
      </c>
      <c r="B82" s="5" t="s">
        <v>51</v>
      </c>
      <c r="C82" s="5">
        <v>1</v>
      </c>
      <c r="D82" s="5">
        <v>14507</v>
      </c>
      <c r="E82" s="5" t="s">
        <v>52</v>
      </c>
      <c r="F82" s="3">
        <v>270000</v>
      </c>
      <c r="G82" s="3" t="s">
        <v>578</v>
      </c>
      <c r="H82" s="3" t="s">
        <v>579</v>
      </c>
      <c r="I82" s="6" t="s">
        <v>582</v>
      </c>
      <c r="J82" s="3" t="s">
        <v>644</v>
      </c>
      <c r="K82" s="7">
        <f>ROUND(15000,2)</f>
        <v>15000</v>
      </c>
      <c r="L82" s="5">
        <v>402001</v>
      </c>
      <c r="M82" s="5">
        <v>12650</v>
      </c>
    </row>
    <row r="83" spans="1:13" ht="31.5" x14ac:dyDescent="0.25">
      <c r="A83" s="5" t="s">
        <v>1</v>
      </c>
      <c r="B83" s="5" t="s">
        <v>53</v>
      </c>
      <c r="C83" s="5">
        <v>1</v>
      </c>
      <c r="D83" s="5">
        <v>16784</v>
      </c>
      <c r="E83" s="5" t="s">
        <v>54</v>
      </c>
      <c r="F83" s="3">
        <f>VLOOKUP(L71,'[1]GL Lookups'!$A:$E,5,FALSE)</f>
        <v>181800</v>
      </c>
      <c r="G83" s="3" t="s">
        <v>575</v>
      </c>
      <c r="H83" s="3" t="s">
        <v>576</v>
      </c>
      <c r="I83" s="4" t="s">
        <v>588</v>
      </c>
      <c r="J83" s="3" t="s">
        <v>639</v>
      </c>
      <c r="K83" s="7">
        <f>ROUND(32250,2)</f>
        <v>32250</v>
      </c>
      <c r="L83" s="5">
        <v>401000</v>
      </c>
      <c r="M83" s="5" t="s">
        <v>55</v>
      </c>
    </row>
    <row r="84" spans="1:13" ht="15.75" x14ac:dyDescent="0.25">
      <c r="A84" s="5" t="s">
        <v>1</v>
      </c>
      <c r="B84" s="5" t="s">
        <v>18</v>
      </c>
      <c r="C84" s="5">
        <v>1</v>
      </c>
      <c r="D84" s="5">
        <v>11686</v>
      </c>
      <c r="E84" s="5" t="s">
        <v>19</v>
      </c>
      <c r="F84" s="3">
        <v>150000</v>
      </c>
      <c r="G84" s="3" t="s">
        <v>601</v>
      </c>
      <c r="H84" s="3" t="s">
        <v>598</v>
      </c>
      <c r="I84" s="6" t="s">
        <v>588</v>
      </c>
      <c r="J84" s="3" t="s">
        <v>645</v>
      </c>
      <c r="K84" s="7">
        <f>ROUND(8761.24,2)</f>
        <v>8761.24</v>
      </c>
      <c r="L84" s="5">
        <v>401020</v>
      </c>
      <c r="M84" s="5">
        <v>10472</v>
      </c>
    </row>
    <row r="85" spans="1:13" ht="15.75" x14ac:dyDescent="0.25">
      <c r="A85" s="5" t="s">
        <v>10</v>
      </c>
      <c r="B85" s="5" t="s">
        <v>57</v>
      </c>
      <c r="C85" s="5">
        <v>1</v>
      </c>
      <c r="D85" s="5">
        <v>16270</v>
      </c>
      <c r="E85" s="5" t="s">
        <v>58</v>
      </c>
      <c r="F85" s="3">
        <v>150000</v>
      </c>
      <c r="G85" s="3" t="s">
        <v>601</v>
      </c>
      <c r="H85" s="3" t="s">
        <v>598</v>
      </c>
      <c r="I85" s="6" t="s">
        <v>582</v>
      </c>
      <c r="J85" s="3" t="s">
        <v>632</v>
      </c>
      <c r="K85" s="7">
        <f>ROUND(3865.2,2)</f>
        <v>3865.2</v>
      </c>
      <c r="L85" s="5">
        <v>401020</v>
      </c>
      <c r="M85" s="5">
        <v>11662</v>
      </c>
    </row>
    <row r="86" spans="1:13" ht="15.75" x14ac:dyDescent="0.25">
      <c r="A86" s="5" t="s">
        <v>10</v>
      </c>
      <c r="B86" s="5" t="s">
        <v>57</v>
      </c>
      <c r="C86" s="5">
        <v>2</v>
      </c>
      <c r="D86" s="5">
        <v>16270</v>
      </c>
      <c r="E86" s="5" t="s">
        <v>58</v>
      </c>
      <c r="F86" s="3">
        <v>150000</v>
      </c>
      <c r="G86" s="3" t="s">
        <v>601</v>
      </c>
      <c r="H86" s="3" t="s">
        <v>598</v>
      </c>
      <c r="I86" s="6" t="s">
        <v>582</v>
      </c>
      <c r="J86" s="3" t="s">
        <v>632</v>
      </c>
      <c r="K86" s="7">
        <f>ROUND(7896.6,2)</f>
        <v>7896.6</v>
      </c>
      <c r="L86" s="5">
        <v>401020</v>
      </c>
      <c r="M86" s="5">
        <v>11662</v>
      </c>
    </row>
    <row r="87" spans="1:13" ht="15.75" x14ac:dyDescent="0.25">
      <c r="A87" s="5" t="s">
        <v>10</v>
      </c>
      <c r="B87" s="5" t="s">
        <v>57</v>
      </c>
      <c r="C87" s="5">
        <v>3</v>
      </c>
      <c r="D87" s="5">
        <v>16270</v>
      </c>
      <c r="E87" s="5" t="s">
        <v>58</v>
      </c>
      <c r="F87" s="3">
        <v>150000</v>
      </c>
      <c r="G87" s="3" t="s">
        <v>601</v>
      </c>
      <c r="H87" s="3" t="s">
        <v>598</v>
      </c>
      <c r="I87" s="6" t="s">
        <v>582</v>
      </c>
      <c r="J87" s="3" t="s">
        <v>632</v>
      </c>
      <c r="K87" s="7">
        <f>ROUND(2308.4,2)</f>
        <v>2308.4</v>
      </c>
      <c r="L87" s="5">
        <v>401020</v>
      </c>
      <c r="M87" s="5">
        <v>11662</v>
      </c>
    </row>
    <row r="88" spans="1:13" ht="31.5" x14ac:dyDescent="0.25">
      <c r="A88" s="5" t="s">
        <v>10</v>
      </c>
      <c r="B88" s="5" t="s">
        <v>11</v>
      </c>
      <c r="C88" s="5">
        <v>1</v>
      </c>
      <c r="D88" s="5">
        <v>3529</v>
      </c>
      <c r="E88" s="5" t="s">
        <v>12</v>
      </c>
      <c r="F88" s="3">
        <v>182020</v>
      </c>
      <c r="G88" s="3" t="s">
        <v>602</v>
      </c>
      <c r="H88" s="3" t="s">
        <v>603</v>
      </c>
      <c r="I88" s="6" t="s">
        <v>582</v>
      </c>
      <c r="J88" s="3" t="s">
        <v>646</v>
      </c>
      <c r="K88" s="7">
        <f>ROUND(9512,2)</f>
        <v>9512</v>
      </c>
      <c r="L88" s="5">
        <v>400401</v>
      </c>
      <c r="M88" s="5">
        <v>10856</v>
      </c>
    </row>
    <row r="89" spans="1:13" ht="31.5" x14ac:dyDescent="0.25">
      <c r="A89" s="5" t="s">
        <v>10</v>
      </c>
      <c r="B89" s="5" t="s">
        <v>63</v>
      </c>
      <c r="C89" s="5">
        <v>1</v>
      </c>
      <c r="D89" s="5">
        <v>2628</v>
      </c>
      <c r="E89" s="5" t="s">
        <v>64</v>
      </c>
      <c r="F89" s="3">
        <v>150000</v>
      </c>
      <c r="G89" s="3" t="s">
        <v>601</v>
      </c>
      <c r="H89" s="3" t="s">
        <v>598</v>
      </c>
      <c r="I89" s="6" t="s">
        <v>577</v>
      </c>
      <c r="J89" s="3" t="s">
        <v>647</v>
      </c>
      <c r="K89" s="7">
        <f>ROUND(25000,2)</f>
        <v>25000</v>
      </c>
      <c r="L89" s="5">
        <v>401020</v>
      </c>
      <c r="M89" s="5">
        <v>12590</v>
      </c>
    </row>
    <row r="90" spans="1:13" ht="31.5" x14ac:dyDescent="0.25">
      <c r="A90" s="5" t="s">
        <v>6</v>
      </c>
      <c r="B90" s="5" t="s">
        <v>67</v>
      </c>
      <c r="C90" s="5">
        <v>1</v>
      </c>
      <c r="D90" s="5">
        <v>1799</v>
      </c>
      <c r="E90" s="5" t="s">
        <v>68</v>
      </c>
      <c r="F90" s="3">
        <v>320000</v>
      </c>
      <c r="G90" s="3" t="s">
        <v>595</v>
      </c>
      <c r="H90" s="3" t="s">
        <v>596</v>
      </c>
      <c r="I90" s="6" t="s">
        <v>588</v>
      </c>
      <c r="J90" s="3" t="s">
        <v>648</v>
      </c>
      <c r="K90" s="7">
        <f>ROUND(7500,2)</f>
        <v>7500</v>
      </c>
      <c r="L90" s="5">
        <v>530356</v>
      </c>
      <c r="M90" s="5">
        <v>12737</v>
      </c>
    </row>
    <row r="91" spans="1:13" ht="31.5" x14ac:dyDescent="0.25">
      <c r="A91" s="5" t="s">
        <v>6</v>
      </c>
      <c r="B91" s="5" t="s">
        <v>65</v>
      </c>
      <c r="C91" s="5">
        <v>1</v>
      </c>
      <c r="D91" s="5">
        <v>1104</v>
      </c>
      <c r="E91" s="5" t="s">
        <v>66</v>
      </c>
      <c r="F91" s="3">
        <v>320000</v>
      </c>
      <c r="G91" s="3" t="s">
        <v>595</v>
      </c>
      <c r="H91" s="3" t="s">
        <v>596</v>
      </c>
      <c r="I91" s="6" t="s">
        <v>588</v>
      </c>
      <c r="J91" s="3" t="s">
        <v>648</v>
      </c>
      <c r="K91" s="7">
        <f>ROUND(7500,2)</f>
        <v>7500</v>
      </c>
      <c r="L91" s="5">
        <v>530356</v>
      </c>
      <c r="M91" s="5">
        <v>12737</v>
      </c>
    </row>
    <row r="92" spans="1:13" ht="15.75" x14ac:dyDescent="0.25">
      <c r="A92" s="5" t="s">
        <v>6</v>
      </c>
      <c r="B92" s="5" t="s">
        <v>45</v>
      </c>
      <c r="C92" s="5">
        <v>1</v>
      </c>
      <c r="D92" s="5">
        <v>13860</v>
      </c>
      <c r="E92" s="5" t="s">
        <v>46</v>
      </c>
      <c r="F92" s="3">
        <v>260000</v>
      </c>
      <c r="G92" s="3" t="s">
        <v>604</v>
      </c>
      <c r="H92" s="3" t="s">
        <v>605</v>
      </c>
      <c r="I92" s="6" t="s">
        <v>582</v>
      </c>
      <c r="J92" s="3" t="s">
        <v>649</v>
      </c>
      <c r="K92" s="7">
        <f>ROUND(6615,2)</f>
        <v>6615</v>
      </c>
      <c r="L92" s="5">
        <v>100304</v>
      </c>
      <c r="M92" s="5">
        <v>12328</v>
      </c>
    </row>
    <row r="93" spans="1:13" ht="15.75" x14ac:dyDescent="0.25">
      <c r="A93" s="5" t="s">
        <v>6</v>
      </c>
      <c r="B93" s="5" t="s">
        <v>26</v>
      </c>
      <c r="C93" s="5">
        <v>1</v>
      </c>
      <c r="D93" s="5">
        <v>7025</v>
      </c>
      <c r="E93" s="5" t="s">
        <v>27</v>
      </c>
      <c r="F93" s="3">
        <v>150000</v>
      </c>
      <c r="G93" s="3" t="s">
        <v>601</v>
      </c>
      <c r="H93" s="3" t="s">
        <v>598</v>
      </c>
      <c r="I93" s="6" t="s">
        <v>582</v>
      </c>
      <c r="J93" s="3" t="s">
        <v>650</v>
      </c>
      <c r="K93" s="7">
        <f>ROUND(191901,2)</f>
        <v>191901</v>
      </c>
      <c r="L93" s="5">
        <v>401020</v>
      </c>
      <c r="M93" s="5">
        <v>12866</v>
      </c>
    </row>
    <row r="94" spans="1:13" ht="47.25" x14ac:dyDescent="0.25">
      <c r="A94" s="5" t="s">
        <v>6</v>
      </c>
      <c r="B94" s="5" t="s">
        <v>33</v>
      </c>
      <c r="C94" s="5">
        <v>1</v>
      </c>
      <c r="D94" s="5">
        <v>10019</v>
      </c>
      <c r="E94" s="5" t="s">
        <v>34</v>
      </c>
      <c r="F94" s="3">
        <v>270000</v>
      </c>
      <c r="G94" s="3" t="s">
        <v>578</v>
      </c>
      <c r="H94" s="3" t="s">
        <v>579</v>
      </c>
      <c r="I94" s="6" t="s">
        <v>577</v>
      </c>
      <c r="J94" s="3" t="s">
        <v>651</v>
      </c>
      <c r="K94" s="7">
        <f>ROUND(7820.61,2)</f>
        <v>7820.61</v>
      </c>
      <c r="L94" s="5">
        <v>402001</v>
      </c>
      <c r="M94" s="5">
        <v>13044</v>
      </c>
    </row>
    <row r="95" spans="1:13" ht="31.5" x14ac:dyDescent="0.25">
      <c r="A95" s="5" t="s">
        <v>20</v>
      </c>
      <c r="B95" s="5" t="s">
        <v>80</v>
      </c>
      <c r="C95" s="5">
        <v>1</v>
      </c>
      <c r="D95" s="5">
        <v>10216</v>
      </c>
      <c r="E95" s="5" t="s">
        <v>81</v>
      </c>
      <c r="F95" s="3">
        <v>182020</v>
      </c>
      <c r="G95" s="3" t="s">
        <v>602</v>
      </c>
      <c r="H95" s="3" t="s">
        <v>603</v>
      </c>
      <c r="I95" s="6" t="s">
        <v>582</v>
      </c>
      <c r="J95" s="3" t="s">
        <v>652</v>
      </c>
      <c r="K95" s="7">
        <f>ROUND(23114,2)</f>
        <v>23114</v>
      </c>
      <c r="L95" s="5">
        <v>400401</v>
      </c>
      <c r="M95" s="5">
        <v>10868</v>
      </c>
    </row>
    <row r="96" spans="1:13" ht="31.5" x14ac:dyDescent="0.25">
      <c r="A96" s="5" t="s">
        <v>20</v>
      </c>
      <c r="B96" s="5" t="s">
        <v>86</v>
      </c>
      <c r="C96" s="5">
        <v>1</v>
      </c>
      <c r="D96" s="5">
        <v>13233</v>
      </c>
      <c r="E96" s="5" t="s">
        <v>87</v>
      </c>
      <c r="F96" s="3">
        <v>390000</v>
      </c>
      <c r="G96" s="3" t="s">
        <v>585</v>
      </c>
      <c r="H96" s="3" t="s">
        <v>586</v>
      </c>
      <c r="I96" s="6" t="s">
        <v>582</v>
      </c>
      <c r="J96" s="3" t="s">
        <v>653</v>
      </c>
      <c r="K96" s="7">
        <f>ROUND(6560.86,2)</f>
        <v>6560.86</v>
      </c>
      <c r="L96" s="5">
        <v>200123</v>
      </c>
      <c r="M96" s="5">
        <v>12033</v>
      </c>
    </row>
    <row r="97" spans="1:13" ht="47.25" x14ac:dyDescent="0.25">
      <c r="A97" s="5" t="s">
        <v>13</v>
      </c>
      <c r="B97" s="5" t="s">
        <v>16</v>
      </c>
      <c r="C97" s="5">
        <v>1</v>
      </c>
      <c r="D97" s="5">
        <v>15378</v>
      </c>
      <c r="E97" s="5" t="s">
        <v>17</v>
      </c>
      <c r="F97" s="3">
        <v>261300</v>
      </c>
      <c r="G97" s="3" t="s">
        <v>606</v>
      </c>
      <c r="H97" s="3" t="s">
        <v>607</v>
      </c>
      <c r="I97" s="6" t="s">
        <v>588</v>
      </c>
      <c r="J97" s="3" t="s">
        <v>654</v>
      </c>
      <c r="K97" s="7">
        <f>ROUND(15000,2)</f>
        <v>15000</v>
      </c>
      <c r="L97" s="5">
        <v>102040</v>
      </c>
      <c r="M97" s="5">
        <v>11590</v>
      </c>
    </row>
    <row r="98" spans="1:13" ht="15.75" x14ac:dyDescent="0.25">
      <c r="A98" s="5" t="s">
        <v>13</v>
      </c>
      <c r="B98" s="5" t="s">
        <v>94</v>
      </c>
      <c r="C98" s="5">
        <v>1</v>
      </c>
      <c r="D98" s="5">
        <v>178</v>
      </c>
      <c r="E98" s="5" t="s">
        <v>79</v>
      </c>
      <c r="F98" s="3">
        <v>390000</v>
      </c>
      <c r="G98" s="3" t="s">
        <v>608</v>
      </c>
      <c r="H98" s="3" t="s">
        <v>608</v>
      </c>
      <c r="I98" s="6" t="s">
        <v>588</v>
      </c>
      <c r="J98" s="3" t="s">
        <v>655</v>
      </c>
      <c r="K98" s="7">
        <f>ROUND(10462.4,2)</f>
        <v>10462.4</v>
      </c>
      <c r="L98" s="5">
        <v>401600</v>
      </c>
      <c r="M98" s="5">
        <v>13111</v>
      </c>
    </row>
    <row r="99" spans="1:13" ht="15.75" x14ac:dyDescent="0.25">
      <c r="A99" s="5" t="s">
        <v>60</v>
      </c>
      <c r="B99" s="5" t="s">
        <v>95</v>
      </c>
      <c r="C99" s="5">
        <v>1</v>
      </c>
      <c r="D99" s="5">
        <v>13862</v>
      </c>
      <c r="E99" s="5" t="s">
        <v>96</v>
      </c>
      <c r="F99" s="3">
        <f>VLOOKUP(L87,'[1]GL Lookups'!$A:$E,5,FALSE)</f>
        <v>150000</v>
      </c>
      <c r="G99" s="3" t="s">
        <v>601</v>
      </c>
      <c r="H99" s="3" t="s">
        <v>598</v>
      </c>
      <c r="I99" s="4" t="s">
        <v>582</v>
      </c>
      <c r="J99" s="3" t="s">
        <v>632</v>
      </c>
      <c r="K99" s="7">
        <f>ROUND(5295,2)</f>
        <v>5295</v>
      </c>
      <c r="L99" s="5">
        <v>401007</v>
      </c>
      <c r="M99" s="5" t="s">
        <v>97</v>
      </c>
    </row>
    <row r="100" spans="1:13" ht="31.5" x14ac:dyDescent="0.25">
      <c r="A100" s="5" t="s">
        <v>60</v>
      </c>
      <c r="B100" s="5" t="s">
        <v>119</v>
      </c>
      <c r="C100" s="5">
        <v>1</v>
      </c>
      <c r="D100" s="5">
        <v>1353</v>
      </c>
      <c r="E100" s="5" t="s">
        <v>120</v>
      </c>
      <c r="F100" s="3">
        <f>VLOOKUP(L88,'[1]GL Lookups'!$A:$E,5,FALSE)</f>
        <v>182020</v>
      </c>
      <c r="G100" s="3" t="s">
        <v>602</v>
      </c>
      <c r="H100" s="3" t="s">
        <v>603</v>
      </c>
      <c r="I100" s="4" t="s">
        <v>582</v>
      </c>
      <c r="J100" s="3" t="s">
        <v>646</v>
      </c>
      <c r="K100" s="7">
        <f>ROUND(8150,2)</f>
        <v>8150</v>
      </c>
      <c r="L100" s="5">
        <v>401600</v>
      </c>
      <c r="M100" s="5" t="s">
        <v>121</v>
      </c>
    </row>
    <row r="101" spans="1:13" ht="30" x14ac:dyDescent="0.25">
      <c r="A101" s="5" t="s">
        <v>60</v>
      </c>
      <c r="B101" s="5" t="s">
        <v>101</v>
      </c>
      <c r="C101" s="5">
        <v>1</v>
      </c>
      <c r="D101" s="5">
        <v>8106</v>
      </c>
      <c r="E101" s="5" t="s">
        <v>102</v>
      </c>
      <c r="F101" s="3">
        <f>VLOOKUP(L89,'[1]GL Lookups'!$A:$E,5,FALSE)</f>
        <v>150000</v>
      </c>
      <c r="G101" s="3" t="s">
        <v>601</v>
      </c>
      <c r="H101" s="3" t="s">
        <v>598</v>
      </c>
      <c r="I101" s="4" t="s">
        <v>577</v>
      </c>
      <c r="J101" s="3" t="s">
        <v>647</v>
      </c>
      <c r="K101" s="7">
        <f>ROUND(88478.03,2)</f>
        <v>88478.03</v>
      </c>
      <c r="L101" s="5">
        <v>401600</v>
      </c>
      <c r="M101" s="5" t="s">
        <v>103</v>
      </c>
    </row>
    <row r="102" spans="1:13" ht="31.5" x14ac:dyDescent="0.25">
      <c r="A102" s="5" t="s">
        <v>60</v>
      </c>
      <c r="B102" s="5" t="s">
        <v>69</v>
      </c>
      <c r="C102" s="5">
        <v>1</v>
      </c>
      <c r="D102" s="5">
        <v>814</v>
      </c>
      <c r="E102" s="5" t="s">
        <v>70</v>
      </c>
      <c r="F102" s="3">
        <f>VLOOKUP(L90,'[1]GL Lookups'!$A:$E,5,FALSE)</f>
        <v>320000</v>
      </c>
      <c r="G102" s="3" t="s">
        <v>595</v>
      </c>
      <c r="H102" s="3" t="s">
        <v>596</v>
      </c>
      <c r="I102" s="4" t="s">
        <v>588</v>
      </c>
      <c r="J102" s="3" t="s">
        <v>648</v>
      </c>
      <c r="K102" s="7">
        <f>ROUND(9993,2)</f>
        <v>9993</v>
      </c>
      <c r="L102" s="5">
        <v>401600</v>
      </c>
      <c r="M102" s="5" t="s">
        <v>71</v>
      </c>
    </row>
    <row r="103" spans="1:13" ht="31.5" x14ac:dyDescent="0.25">
      <c r="A103" s="5" t="s">
        <v>8</v>
      </c>
      <c r="B103" s="5" t="s">
        <v>137</v>
      </c>
      <c r="C103" s="5">
        <v>1</v>
      </c>
      <c r="D103" s="5">
        <v>7413</v>
      </c>
      <c r="E103" s="5" t="s">
        <v>138</v>
      </c>
      <c r="F103" s="3">
        <f>VLOOKUP(L91,'[1]GL Lookups'!$A:$E,5,FALSE)</f>
        <v>320000</v>
      </c>
      <c r="G103" s="3" t="s">
        <v>595</v>
      </c>
      <c r="H103" s="3" t="s">
        <v>596</v>
      </c>
      <c r="I103" s="4" t="s">
        <v>588</v>
      </c>
      <c r="J103" s="3" t="s">
        <v>648</v>
      </c>
      <c r="K103" s="7">
        <f>ROUND(207421.28,2)</f>
        <v>207421.28</v>
      </c>
      <c r="L103" s="5">
        <v>401600</v>
      </c>
      <c r="M103" s="5" t="s">
        <v>110</v>
      </c>
    </row>
    <row r="104" spans="1:13" ht="15.75" x14ac:dyDescent="0.25">
      <c r="A104" s="5" t="s">
        <v>8</v>
      </c>
      <c r="B104" s="5" t="s">
        <v>109</v>
      </c>
      <c r="C104" s="5">
        <v>1</v>
      </c>
      <c r="D104" s="5">
        <v>3529</v>
      </c>
      <c r="E104" s="5" t="s">
        <v>12</v>
      </c>
      <c r="F104" s="3">
        <f>VLOOKUP(L92,'[1]GL Lookups'!$A:$E,5,FALSE)</f>
        <v>260000</v>
      </c>
      <c r="G104" s="3" t="s">
        <v>604</v>
      </c>
      <c r="H104" s="3" t="s">
        <v>605</v>
      </c>
      <c r="I104" s="4" t="s">
        <v>582</v>
      </c>
      <c r="J104" s="3" t="s">
        <v>649</v>
      </c>
      <c r="K104" s="7">
        <f>ROUND(49681.75,2)</f>
        <v>49681.75</v>
      </c>
      <c r="L104" s="5">
        <v>401600</v>
      </c>
      <c r="M104" s="5" t="s">
        <v>110</v>
      </c>
    </row>
    <row r="105" spans="1:13" ht="15.75" x14ac:dyDescent="0.25">
      <c r="A105" s="5" t="s">
        <v>8</v>
      </c>
      <c r="B105" s="5" t="s">
        <v>146</v>
      </c>
      <c r="C105" s="5">
        <v>1</v>
      </c>
      <c r="D105" s="5">
        <v>7167</v>
      </c>
      <c r="E105" s="5" t="s">
        <v>98</v>
      </c>
      <c r="F105" s="3">
        <v>170000</v>
      </c>
      <c r="G105" s="3" t="s">
        <v>591</v>
      </c>
      <c r="H105" s="3" t="s">
        <v>609</v>
      </c>
      <c r="I105" s="6" t="s">
        <v>588</v>
      </c>
      <c r="J105" s="3" t="s">
        <v>656</v>
      </c>
      <c r="K105" s="7">
        <f>ROUND(9800,2)</f>
        <v>9800</v>
      </c>
      <c r="L105" s="5">
        <v>530102</v>
      </c>
      <c r="M105" s="5">
        <v>10430</v>
      </c>
    </row>
    <row r="106" spans="1:13" ht="15.75" x14ac:dyDescent="0.25">
      <c r="A106" s="5" t="s">
        <v>8</v>
      </c>
      <c r="B106" s="5" t="s">
        <v>145</v>
      </c>
      <c r="C106" s="5">
        <v>1</v>
      </c>
      <c r="D106" s="5">
        <v>8236</v>
      </c>
      <c r="E106" s="5" t="s">
        <v>144</v>
      </c>
      <c r="F106" s="3">
        <v>390000</v>
      </c>
      <c r="G106" s="3" t="s">
        <v>608</v>
      </c>
      <c r="H106" s="3" t="s">
        <v>608</v>
      </c>
      <c r="I106" s="6" t="s">
        <v>588</v>
      </c>
      <c r="J106" s="3" t="s">
        <v>655</v>
      </c>
      <c r="K106" s="7">
        <f>ROUND(43989,2)</f>
        <v>43989</v>
      </c>
      <c r="L106" s="5">
        <v>401600</v>
      </c>
      <c r="M106" s="5">
        <v>13111</v>
      </c>
    </row>
    <row r="107" spans="1:13" ht="15.75" x14ac:dyDescent="0.25">
      <c r="A107" s="5" t="s">
        <v>8</v>
      </c>
      <c r="B107" s="5" t="s">
        <v>143</v>
      </c>
      <c r="C107" s="5">
        <v>1</v>
      </c>
      <c r="D107" s="5">
        <v>8236</v>
      </c>
      <c r="E107" s="5" t="s">
        <v>144</v>
      </c>
      <c r="F107" s="3">
        <v>390000</v>
      </c>
      <c r="G107" s="3" t="s">
        <v>608</v>
      </c>
      <c r="H107" s="3" t="s">
        <v>608</v>
      </c>
      <c r="I107" s="6" t="s">
        <v>588</v>
      </c>
      <c r="J107" s="3" t="s">
        <v>655</v>
      </c>
      <c r="K107" s="7">
        <f>ROUND(41242,2)</f>
        <v>41242</v>
      </c>
      <c r="L107" s="5">
        <v>401600</v>
      </c>
      <c r="M107" s="5">
        <v>13111</v>
      </c>
    </row>
    <row r="108" spans="1:13" ht="31.5" x14ac:dyDescent="0.25">
      <c r="A108" s="5" t="s">
        <v>8</v>
      </c>
      <c r="B108" s="5" t="s">
        <v>129</v>
      </c>
      <c r="C108" s="5">
        <v>1</v>
      </c>
      <c r="D108" s="5">
        <v>6748</v>
      </c>
      <c r="E108" s="5" t="s">
        <v>83</v>
      </c>
      <c r="F108" s="3">
        <f>VLOOKUP(L96,'[1]GL Lookups'!$A:$E,5,FALSE)</f>
        <v>390000</v>
      </c>
      <c r="G108" s="3" t="s">
        <v>585</v>
      </c>
      <c r="H108" s="3" t="s">
        <v>586</v>
      </c>
      <c r="I108" s="4" t="s">
        <v>582</v>
      </c>
      <c r="J108" s="3" t="s">
        <v>653</v>
      </c>
      <c r="K108" s="7">
        <f>ROUND(10111.61,2)</f>
        <v>10111.61</v>
      </c>
      <c r="L108" s="5">
        <v>401600</v>
      </c>
      <c r="M108" s="5" t="s">
        <v>130</v>
      </c>
    </row>
    <row r="109" spans="1:13" ht="47.25" x14ac:dyDescent="0.25">
      <c r="A109" s="5" t="s">
        <v>32</v>
      </c>
      <c r="B109" s="5" t="s">
        <v>148</v>
      </c>
      <c r="C109" s="5">
        <v>1</v>
      </c>
      <c r="D109" s="5">
        <v>14666</v>
      </c>
      <c r="E109" s="5" t="s">
        <v>40</v>
      </c>
      <c r="F109" s="3">
        <v>270000</v>
      </c>
      <c r="G109" s="3" t="s">
        <v>578</v>
      </c>
      <c r="H109" s="3" t="s">
        <v>579</v>
      </c>
      <c r="I109" s="6" t="s">
        <v>582</v>
      </c>
      <c r="J109" s="3" t="s">
        <v>657</v>
      </c>
      <c r="K109" s="7">
        <f>ROUND(7940,2)</f>
        <v>7940</v>
      </c>
      <c r="L109" s="5">
        <v>402004</v>
      </c>
      <c r="M109" s="5">
        <v>12822</v>
      </c>
    </row>
    <row r="110" spans="1:13" ht="31.5" x14ac:dyDescent="0.25">
      <c r="A110" s="5" t="s">
        <v>32</v>
      </c>
      <c r="B110" s="5" t="s">
        <v>139</v>
      </c>
      <c r="C110" s="5">
        <v>1</v>
      </c>
      <c r="D110" s="5">
        <v>16813</v>
      </c>
      <c r="E110" s="5" t="s">
        <v>140</v>
      </c>
      <c r="F110" s="3">
        <v>260000</v>
      </c>
      <c r="G110" s="3" t="s">
        <v>604</v>
      </c>
      <c r="H110" s="3" t="s">
        <v>610</v>
      </c>
      <c r="I110" s="6" t="s">
        <v>577</v>
      </c>
      <c r="J110" s="3" t="s">
        <v>658</v>
      </c>
      <c r="K110" s="7">
        <f>ROUND(9788.68,2)</f>
        <v>9788.68</v>
      </c>
      <c r="L110" s="5">
        <v>102020</v>
      </c>
      <c r="M110" s="5">
        <v>11888</v>
      </c>
    </row>
    <row r="111" spans="1:13" ht="31.5" x14ac:dyDescent="0.25">
      <c r="A111" s="5" t="s">
        <v>32</v>
      </c>
      <c r="B111" s="5" t="s">
        <v>106</v>
      </c>
      <c r="C111" s="5">
        <v>1</v>
      </c>
      <c r="D111" s="5">
        <v>13430</v>
      </c>
      <c r="E111" s="5" t="s">
        <v>107</v>
      </c>
      <c r="F111" s="3">
        <v>261500</v>
      </c>
      <c r="G111" s="3" t="s">
        <v>611</v>
      </c>
      <c r="H111" s="3" t="s">
        <v>592</v>
      </c>
      <c r="I111" s="6" t="s">
        <v>588</v>
      </c>
      <c r="J111" s="3" t="s">
        <v>659</v>
      </c>
      <c r="K111" s="7">
        <f>ROUND(6104,2)</f>
        <v>6104</v>
      </c>
      <c r="L111" s="5">
        <v>401024</v>
      </c>
      <c r="M111" s="5">
        <v>10310</v>
      </c>
    </row>
    <row r="112" spans="1:13" ht="15.75" x14ac:dyDescent="0.25">
      <c r="A112" s="5" t="s">
        <v>32</v>
      </c>
      <c r="B112" s="5" t="s">
        <v>114</v>
      </c>
      <c r="C112" s="5">
        <v>1</v>
      </c>
      <c r="D112" s="5">
        <v>6967</v>
      </c>
      <c r="E112" s="5" t="s">
        <v>115</v>
      </c>
      <c r="F112" s="3">
        <f>VLOOKUP(L100,'[1]GL Lookups'!$A:$E,5,FALSE)</f>
        <v>390000</v>
      </c>
      <c r="G112" s="3" t="s">
        <v>608</v>
      </c>
      <c r="H112" s="3" t="s">
        <v>608</v>
      </c>
      <c r="I112" s="1" t="s">
        <v>582</v>
      </c>
      <c r="J112" s="3" t="e">
        <v>#N/A</v>
      </c>
      <c r="K112" s="7">
        <f>ROUND(10737,2)</f>
        <v>10737</v>
      </c>
      <c r="L112" s="5">
        <v>401007</v>
      </c>
      <c r="M112" s="5" t="s">
        <v>116</v>
      </c>
    </row>
    <row r="113" spans="1:13" ht="15.75" x14ac:dyDescent="0.25">
      <c r="A113" s="5" t="s">
        <v>3</v>
      </c>
      <c r="B113" s="5" t="s">
        <v>2</v>
      </c>
      <c r="C113" s="5">
        <v>1</v>
      </c>
      <c r="D113" s="5">
        <v>5915</v>
      </c>
      <c r="E113" s="5" t="s">
        <v>4</v>
      </c>
      <c r="F113" s="3">
        <f>VLOOKUP(L101,'[1]GL Lookups'!$A:$E,5,FALSE)</f>
        <v>390000</v>
      </c>
      <c r="G113" s="3" t="s">
        <v>608</v>
      </c>
      <c r="H113" s="3" t="s">
        <v>608</v>
      </c>
      <c r="I113" s="1" t="s">
        <v>582</v>
      </c>
      <c r="J113" s="3" t="e">
        <v>#N/A</v>
      </c>
      <c r="K113" s="7">
        <f>ROUND(20724.66,2)</f>
        <v>20724.66</v>
      </c>
      <c r="L113" s="5">
        <v>401007</v>
      </c>
      <c r="M113" s="5" t="s">
        <v>5</v>
      </c>
    </row>
    <row r="114" spans="1:13" ht="15.75" x14ac:dyDescent="0.25">
      <c r="A114" s="5" t="s">
        <v>3</v>
      </c>
      <c r="B114" s="5" t="s">
        <v>117</v>
      </c>
      <c r="C114" s="5">
        <v>1</v>
      </c>
      <c r="D114" s="5">
        <v>7025</v>
      </c>
      <c r="E114" s="5" t="s">
        <v>27</v>
      </c>
      <c r="F114" s="3">
        <v>150000</v>
      </c>
      <c r="G114" s="3" t="s">
        <v>601</v>
      </c>
      <c r="H114" s="3" t="s">
        <v>598</v>
      </c>
      <c r="I114" s="6" t="s">
        <v>582</v>
      </c>
      <c r="J114" s="3" t="s">
        <v>650</v>
      </c>
      <c r="K114" s="7">
        <f>ROUND(5000,2)</f>
        <v>5000</v>
      </c>
      <c r="L114" s="5">
        <v>401020</v>
      </c>
      <c r="M114" s="5">
        <v>12866</v>
      </c>
    </row>
    <row r="115" spans="1:13" ht="15.75" x14ac:dyDescent="0.25">
      <c r="A115" s="5" t="s">
        <v>3</v>
      </c>
      <c r="B115" s="5" t="s">
        <v>82</v>
      </c>
      <c r="C115" s="5">
        <v>1</v>
      </c>
      <c r="D115" s="5">
        <v>6748</v>
      </c>
      <c r="E115" s="5" t="s">
        <v>83</v>
      </c>
      <c r="F115" s="3">
        <f>VLOOKUP(L103,'[1]GL Lookups'!$A:$E,5,FALSE)</f>
        <v>390000</v>
      </c>
      <c r="G115" s="3" t="s">
        <v>608</v>
      </c>
      <c r="H115" s="3" t="s">
        <v>608</v>
      </c>
      <c r="I115" s="1" t="s">
        <v>582</v>
      </c>
      <c r="J115" s="3" t="e">
        <v>#N/A</v>
      </c>
      <c r="K115" s="7">
        <f>ROUND(14882.63,2)</f>
        <v>14882.63</v>
      </c>
      <c r="L115" s="5">
        <v>401600</v>
      </c>
      <c r="M115" s="5" t="s">
        <v>84</v>
      </c>
    </row>
    <row r="116" spans="1:13" ht="31.5" x14ac:dyDescent="0.25">
      <c r="A116" s="5" t="s">
        <v>3</v>
      </c>
      <c r="B116" s="5" t="s">
        <v>155</v>
      </c>
      <c r="C116" s="5">
        <v>1</v>
      </c>
      <c r="D116" s="5">
        <v>16774</v>
      </c>
      <c r="E116" s="5" t="s">
        <v>156</v>
      </c>
      <c r="F116" s="3">
        <v>260000</v>
      </c>
      <c r="G116" s="3" t="s">
        <v>604</v>
      </c>
      <c r="H116" s="3" t="s">
        <v>610</v>
      </c>
      <c r="I116" s="6" t="s">
        <v>577</v>
      </c>
      <c r="J116" s="3" t="s">
        <v>647</v>
      </c>
      <c r="K116" s="7">
        <f>ROUND(7995,2)</f>
        <v>7995</v>
      </c>
      <c r="L116" s="5">
        <v>102020</v>
      </c>
      <c r="M116" s="5">
        <v>12590</v>
      </c>
    </row>
    <row r="117" spans="1:13" ht="15.75" x14ac:dyDescent="0.25">
      <c r="A117" s="5" t="s">
        <v>3</v>
      </c>
      <c r="B117" s="5" t="s">
        <v>157</v>
      </c>
      <c r="C117" s="5">
        <v>1</v>
      </c>
      <c r="D117" s="5">
        <v>1799</v>
      </c>
      <c r="E117" s="5" t="s">
        <v>68</v>
      </c>
      <c r="F117" s="3">
        <v>150000</v>
      </c>
      <c r="G117" s="3" t="s">
        <v>601</v>
      </c>
      <c r="H117" s="3" t="s">
        <v>598</v>
      </c>
      <c r="I117" s="6" t="s">
        <v>588</v>
      </c>
      <c r="J117" s="3" t="s">
        <v>660</v>
      </c>
      <c r="K117" s="7">
        <f>ROUND(18341.8,2)</f>
        <v>18341.8</v>
      </c>
      <c r="L117" s="5">
        <v>401020</v>
      </c>
      <c r="M117" s="5">
        <v>11863</v>
      </c>
    </row>
    <row r="118" spans="1:13" ht="31.5" x14ac:dyDescent="0.25">
      <c r="A118" s="5" t="s">
        <v>3</v>
      </c>
      <c r="B118" s="5" t="s">
        <v>158</v>
      </c>
      <c r="C118" s="5">
        <v>1</v>
      </c>
      <c r="D118" s="5">
        <v>12384</v>
      </c>
      <c r="E118" s="5" t="s">
        <v>142</v>
      </c>
      <c r="F118" s="3">
        <v>320000</v>
      </c>
      <c r="G118" s="3" t="s">
        <v>595</v>
      </c>
      <c r="H118" s="3" t="s">
        <v>612</v>
      </c>
      <c r="I118" s="6" t="s">
        <v>577</v>
      </c>
      <c r="J118" s="3" t="s">
        <v>661</v>
      </c>
      <c r="K118" s="7">
        <f>ROUND(30000,2)</f>
        <v>30000</v>
      </c>
      <c r="L118" s="5">
        <v>402403</v>
      </c>
      <c r="M118" s="5">
        <v>12979</v>
      </c>
    </row>
    <row r="119" spans="1:13" ht="15.75" x14ac:dyDescent="0.25">
      <c r="A119" s="5" t="s">
        <v>22</v>
      </c>
      <c r="B119" s="5" t="s">
        <v>160</v>
      </c>
      <c r="C119" s="5">
        <v>1</v>
      </c>
      <c r="D119" s="5">
        <v>4708</v>
      </c>
      <c r="E119" s="5" t="s">
        <v>28</v>
      </c>
      <c r="F119" s="3">
        <f>VLOOKUP(L107,'[1]GL Lookups'!$A:$E,5,FALSE)</f>
        <v>390000</v>
      </c>
      <c r="G119" s="3" t="s">
        <v>608</v>
      </c>
      <c r="H119" s="3" t="s">
        <v>608</v>
      </c>
      <c r="I119" s="4" t="s">
        <v>588</v>
      </c>
      <c r="J119" s="3" t="s">
        <v>655</v>
      </c>
      <c r="K119" s="7">
        <f>ROUND(382096,2)</f>
        <v>382096</v>
      </c>
      <c r="L119" s="5">
        <v>200311</v>
      </c>
      <c r="M119" s="5" t="s">
        <v>161</v>
      </c>
    </row>
    <row r="120" spans="1:13" ht="15.75" x14ac:dyDescent="0.25">
      <c r="A120" s="5" t="s">
        <v>22</v>
      </c>
      <c r="B120" s="5" t="s">
        <v>162</v>
      </c>
      <c r="C120" s="5">
        <v>1</v>
      </c>
      <c r="D120" s="5">
        <v>13069</v>
      </c>
      <c r="E120" s="5" t="s">
        <v>163</v>
      </c>
      <c r="F120" s="3">
        <f>VLOOKUP(L108,'[1]GL Lookups'!$A:$E,5,FALSE)</f>
        <v>390000</v>
      </c>
      <c r="G120" s="3" t="s">
        <v>608</v>
      </c>
      <c r="H120" s="3" t="s">
        <v>608</v>
      </c>
      <c r="I120" s="1" t="s">
        <v>588</v>
      </c>
      <c r="J120" s="3" t="e">
        <v>#N/A</v>
      </c>
      <c r="K120" s="7">
        <f>ROUND(656100,2)</f>
        <v>656100</v>
      </c>
      <c r="L120" s="5">
        <v>200311</v>
      </c>
      <c r="M120" s="5" t="s">
        <v>164</v>
      </c>
    </row>
    <row r="121" spans="1:13" ht="47.25" x14ac:dyDescent="0.25">
      <c r="A121" s="5" t="s">
        <v>22</v>
      </c>
      <c r="B121" s="5" t="s">
        <v>165</v>
      </c>
      <c r="C121" s="5">
        <v>1</v>
      </c>
      <c r="D121" s="5">
        <v>5531</v>
      </c>
      <c r="E121" s="5" t="s">
        <v>166</v>
      </c>
      <c r="F121" s="3">
        <f>VLOOKUP(L109,'[1]GL Lookups'!$A:$E,5,FALSE)</f>
        <v>270000</v>
      </c>
      <c r="G121" s="3" t="s">
        <v>578</v>
      </c>
      <c r="H121" s="3" t="s">
        <v>579</v>
      </c>
      <c r="I121" s="4" t="s">
        <v>582</v>
      </c>
      <c r="J121" s="3" t="s">
        <v>657</v>
      </c>
      <c r="K121" s="7">
        <f>ROUND(640755,2)</f>
        <v>640755</v>
      </c>
      <c r="L121" s="5">
        <v>200311</v>
      </c>
      <c r="M121" s="5" t="s">
        <v>167</v>
      </c>
    </row>
    <row r="122" spans="1:13" ht="31.5" x14ac:dyDescent="0.25">
      <c r="A122" s="5" t="s">
        <v>22</v>
      </c>
      <c r="B122" s="5" t="s">
        <v>154</v>
      </c>
      <c r="C122" s="5">
        <v>1</v>
      </c>
      <c r="D122" s="5">
        <v>178</v>
      </c>
      <c r="E122" s="5" t="s">
        <v>79</v>
      </c>
      <c r="F122" s="3">
        <v>999999</v>
      </c>
      <c r="G122" s="3" t="s">
        <v>592</v>
      </c>
      <c r="H122" s="3" t="s">
        <v>592</v>
      </c>
      <c r="I122" s="6" t="s">
        <v>577</v>
      </c>
      <c r="J122" s="3" t="s">
        <v>662</v>
      </c>
      <c r="K122" s="7">
        <f>ROUND(425957.48,2)</f>
        <v>425957.48</v>
      </c>
      <c r="L122" s="5">
        <v>402407</v>
      </c>
      <c r="M122" s="5">
        <v>11136</v>
      </c>
    </row>
    <row r="123" spans="1:13" ht="31.5" x14ac:dyDescent="0.25">
      <c r="A123" s="5" t="s">
        <v>22</v>
      </c>
      <c r="B123" s="5" t="s">
        <v>21</v>
      </c>
      <c r="C123" s="5">
        <v>1</v>
      </c>
      <c r="D123" s="5">
        <v>1339</v>
      </c>
      <c r="E123" s="5" t="s">
        <v>23</v>
      </c>
      <c r="F123" s="3">
        <v>310000</v>
      </c>
      <c r="G123" s="3" t="s">
        <v>613</v>
      </c>
      <c r="H123" s="3" t="s">
        <v>614</v>
      </c>
      <c r="I123" s="6" t="s">
        <v>588</v>
      </c>
      <c r="J123" s="3" t="s">
        <v>663</v>
      </c>
      <c r="K123" s="7">
        <f>ROUND(102700,2)</f>
        <v>102700</v>
      </c>
      <c r="L123" s="5">
        <v>500402</v>
      </c>
      <c r="M123" s="5">
        <v>11486</v>
      </c>
    </row>
    <row r="124" spans="1:13" ht="15.75" x14ac:dyDescent="0.25">
      <c r="A124" s="5" t="s">
        <v>22</v>
      </c>
      <c r="B124" s="5" t="s">
        <v>147</v>
      </c>
      <c r="C124" s="5">
        <v>1</v>
      </c>
      <c r="D124" s="5">
        <v>8323</v>
      </c>
      <c r="E124" s="5" t="s">
        <v>56</v>
      </c>
      <c r="F124" s="3">
        <f>VLOOKUP(L112,'[1]GL Lookups'!$A:$E,5,FALSE)</f>
        <v>150000</v>
      </c>
      <c r="G124" s="3" t="s">
        <v>601</v>
      </c>
      <c r="H124" s="3" t="s">
        <v>598</v>
      </c>
      <c r="I124" s="1" t="s">
        <v>582</v>
      </c>
      <c r="J124" s="3" t="e">
        <v>#N/A</v>
      </c>
      <c r="K124" s="7">
        <f>ROUND(83084.96,2)</f>
        <v>83084.960000000006</v>
      </c>
      <c r="L124" s="5">
        <v>401020</v>
      </c>
      <c r="M124" s="5" t="s">
        <v>31</v>
      </c>
    </row>
    <row r="125" spans="1:13" ht="15.75" x14ac:dyDescent="0.25">
      <c r="A125" s="5" t="s">
        <v>22</v>
      </c>
      <c r="B125" s="5" t="s">
        <v>39</v>
      </c>
      <c r="C125" s="5">
        <v>1</v>
      </c>
      <c r="D125" s="5">
        <v>10897</v>
      </c>
      <c r="E125" s="5" t="s">
        <v>37</v>
      </c>
      <c r="F125" s="3">
        <f>VLOOKUP(L113,'[1]GL Lookups'!$A:$E,5,FALSE)</f>
        <v>150000</v>
      </c>
      <c r="G125" s="3" t="s">
        <v>601</v>
      </c>
      <c r="H125" s="3" t="s">
        <v>598</v>
      </c>
      <c r="I125" s="1" t="s">
        <v>582</v>
      </c>
      <c r="J125" s="3" t="e">
        <v>#N/A</v>
      </c>
      <c r="K125" s="7">
        <f>ROUND(33853.63,2)</f>
        <v>33853.629999999997</v>
      </c>
      <c r="L125" s="5">
        <v>200311</v>
      </c>
      <c r="M125" s="5" t="s">
        <v>38</v>
      </c>
    </row>
    <row r="126" spans="1:13" ht="15.75" x14ac:dyDescent="0.25">
      <c r="A126" s="5" t="s">
        <v>22</v>
      </c>
      <c r="B126" s="5" t="s">
        <v>29</v>
      </c>
      <c r="C126" s="5">
        <v>1</v>
      </c>
      <c r="D126" s="5">
        <v>14619</v>
      </c>
      <c r="E126" s="5" t="s">
        <v>30</v>
      </c>
      <c r="F126" s="3">
        <f>VLOOKUP(L114,'[1]GL Lookups'!$A:$E,5,FALSE)</f>
        <v>150000</v>
      </c>
      <c r="G126" s="3" t="s">
        <v>601</v>
      </c>
      <c r="H126" s="3" t="s">
        <v>598</v>
      </c>
      <c r="I126" s="4" t="s">
        <v>582</v>
      </c>
      <c r="J126" s="3" t="s">
        <v>650</v>
      </c>
      <c r="K126" s="7">
        <f>ROUND(56693.88,2)</f>
        <v>56693.88</v>
      </c>
      <c r="L126" s="5">
        <v>400100</v>
      </c>
      <c r="M126" s="5" t="s">
        <v>31</v>
      </c>
    </row>
    <row r="127" spans="1:13" ht="31.5" x14ac:dyDescent="0.25">
      <c r="A127" s="5" t="s">
        <v>135</v>
      </c>
      <c r="B127" s="5" t="s">
        <v>172</v>
      </c>
      <c r="C127" s="5">
        <v>1</v>
      </c>
      <c r="D127" s="5">
        <v>8832</v>
      </c>
      <c r="E127" s="5" t="s">
        <v>168</v>
      </c>
      <c r="F127" s="3">
        <v>390000</v>
      </c>
      <c r="G127" s="3" t="s">
        <v>585</v>
      </c>
      <c r="H127" s="3" t="s">
        <v>586</v>
      </c>
      <c r="I127" s="6" t="s">
        <v>588</v>
      </c>
      <c r="J127" s="3" t="s">
        <v>664</v>
      </c>
      <c r="K127" s="7">
        <f>ROUND(7380,2)</f>
        <v>7380</v>
      </c>
      <c r="L127" s="5">
        <v>200160</v>
      </c>
      <c r="M127" s="5">
        <v>10463</v>
      </c>
    </row>
    <row r="128" spans="1:13" ht="30" x14ac:dyDescent="0.25">
      <c r="A128" s="5" t="s">
        <v>135</v>
      </c>
      <c r="B128" s="5" t="s">
        <v>173</v>
      </c>
      <c r="C128" s="5">
        <v>1</v>
      </c>
      <c r="D128" s="5">
        <v>15459</v>
      </c>
      <c r="E128" s="5" t="s">
        <v>174</v>
      </c>
      <c r="F128" s="3">
        <f>VLOOKUP(L116,'[1]GL Lookups'!$A:$E,5,FALSE)</f>
        <v>260000</v>
      </c>
      <c r="G128" s="3" t="s">
        <v>604</v>
      </c>
      <c r="H128" s="3" t="s">
        <v>610</v>
      </c>
      <c r="I128" s="4" t="s">
        <v>577</v>
      </c>
      <c r="J128" s="3" t="s">
        <v>647</v>
      </c>
      <c r="K128" s="7">
        <f>ROUND(10410,2)</f>
        <v>10410</v>
      </c>
      <c r="L128" s="5">
        <v>200316</v>
      </c>
      <c r="M128" s="5" t="s">
        <v>175</v>
      </c>
    </row>
    <row r="129" spans="1:13" ht="47.25" x14ac:dyDescent="0.25">
      <c r="A129" s="5" t="s">
        <v>135</v>
      </c>
      <c r="B129" s="5" t="s">
        <v>180</v>
      </c>
      <c r="C129" s="5">
        <v>1</v>
      </c>
      <c r="D129" s="5">
        <v>35</v>
      </c>
      <c r="E129" s="5" t="s">
        <v>15</v>
      </c>
      <c r="F129" s="3">
        <v>270000</v>
      </c>
      <c r="G129" s="3" t="s">
        <v>578</v>
      </c>
      <c r="H129" s="3" t="s">
        <v>579</v>
      </c>
      <c r="I129" s="6" t="s">
        <v>588</v>
      </c>
      <c r="J129" s="3" t="s">
        <v>665</v>
      </c>
      <c r="K129" s="7">
        <f>ROUND(4390,2)</f>
        <v>4390</v>
      </c>
      <c r="L129" s="5">
        <v>402001</v>
      </c>
      <c r="M129" s="5">
        <v>11768</v>
      </c>
    </row>
    <row r="130" spans="1:13" ht="47.25" x14ac:dyDescent="0.25">
      <c r="A130" s="5" t="s">
        <v>135</v>
      </c>
      <c r="B130" s="5" t="s">
        <v>180</v>
      </c>
      <c r="C130" s="5">
        <v>2</v>
      </c>
      <c r="D130" s="5">
        <v>35</v>
      </c>
      <c r="E130" s="5" t="s">
        <v>15</v>
      </c>
      <c r="F130" s="3">
        <v>270000</v>
      </c>
      <c r="G130" s="3" t="s">
        <v>578</v>
      </c>
      <c r="H130" s="3" t="s">
        <v>579</v>
      </c>
      <c r="I130" s="6" t="s">
        <v>588</v>
      </c>
      <c r="J130" s="3" t="s">
        <v>665</v>
      </c>
      <c r="K130" s="7">
        <f>ROUND(550,2)</f>
        <v>550</v>
      </c>
      <c r="L130" s="5">
        <v>402001</v>
      </c>
      <c r="M130" s="5">
        <v>11768</v>
      </c>
    </row>
    <row r="131" spans="1:13" ht="47.25" x14ac:dyDescent="0.25">
      <c r="A131" s="5" t="s">
        <v>135</v>
      </c>
      <c r="B131" s="5" t="s">
        <v>180</v>
      </c>
      <c r="C131" s="5">
        <v>3</v>
      </c>
      <c r="D131" s="5">
        <v>35</v>
      </c>
      <c r="E131" s="5" t="s">
        <v>15</v>
      </c>
      <c r="F131" s="3">
        <v>270000</v>
      </c>
      <c r="G131" s="3" t="s">
        <v>578</v>
      </c>
      <c r="H131" s="3" t="s">
        <v>579</v>
      </c>
      <c r="I131" s="6" t="s">
        <v>588</v>
      </c>
      <c r="J131" s="3" t="s">
        <v>665</v>
      </c>
      <c r="K131" s="7">
        <f>ROUND(250,2)</f>
        <v>250</v>
      </c>
      <c r="L131" s="5">
        <v>402001</v>
      </c>
      <c r="M131" s="5">
        <v>11768</v>
      </c>
    </row>
    <row r="132" spans="1:13" ht="47.25" x14ac:dyDescent="0.25">
      <c r="A132" s="5" t="s">
        <v>135</v>
      </c>
      <c r="B132" s="5" t="s">
        <v>180</v>
      </c>
      <c r="C132" s="5">
        <v>4</v>
      </c>
      <c r="D132" s="5">
        <v>35</v>
      </c>
      <c r="E132" s="5" t="s">
        <v>15</v>
      </c>
      <c r="F132" s="3">
        <v>270000</v>
      </c>
      <c r="G132" s="3" t="s">
        <v>578</v>
      </c>
      <c r="H132" s="3" t="s">
        <v>579</v>
      </c>
      <c r="I132" s="6" t="s">
        <v>588</v>
      </c>
      <c r="J132" s="3" t="s">
        <v>665</v>
      </c>
      <c r="K132" s="7">
        <f>ROUND(950,2)</f>
        <v>950</v>
      </c>
      <c r="L132" s="5">
        <v>402001</v>
      </c>
      <c r="M132" s="5">
        <v>11768</v>
      </c>
    </row>
    <row r="133" spans="1:13" ht="47.25" x14ac:dyDescent="0.25">
      <c r="A133" s="5" t="s">
        <v>135</v>
      </c>
      <c r="B133" s="5" t="s">
        <v>180</v>
      </c>
      <c r="C133" s="5">
        <v>5</v>
      </c>
      <c r="D133" s="5">
        <v>35</v>
      </c>
      <c r="E133" s="5" t="s">
        <v>15</v>
      </c>
      <c r="F133" s="3">
        <v>270000</v>
      </c>
      <c r="G133" s="3" t="s">
        <v>578</v>
      </c>
      <c r="H133" s="3" t="s">
        <v>579</v>
      </c>
      <c r="I133" s="6" t="s">
        <v>588</v>
      </c>
      <c r="J133" s="3" t="s">
        <v>665</v>
      </c>
      <c r="K133" s="7">
        <f>ROUND(90,2)</f>
        <v>90</v>
      </c>
      <c r="L133" s="5">
        <v>402001</v>
      </c>
      <c r="M133" s="5">
        <v>11768</v>
      </c>
    </row>
    <row r="134" spans="1:13" ht="47.25" x14ac:dyDescent="0.25">
      <c r="A134" s="5" t="s">
        <v>135</v>
      </c>
      <c r="B134" s="5" t="s">
        <v>186</v>
      </c>
      <c r="C134" s="5">
        <v>1</v>
      </c>
      <c r="D134" s="5">
        <v>4272</v>
      </c>
      <c r="E134" s="5" t="s">
        <v>9</v>
      </c>
      <c r="F134" s="3">
        <v>270000</v>
      </c>
      <c r="G134" s="3" t="s">
        <v>578</v>
      </c>
      <c r="H134" s="3" t="s">
        <v>579</v>
      </c>
      <c r="I134" s="6" t="s">
        <v>577</v>
      </c>
      <c r="J134" s="3" t="s">
        <v>666</v>
      </c>
      <c r="K134" s="7">
        <f>ROUND(600966,2)</f>
        <v>600966</v>
      </c>
      <c r="L134" s="5">
        <v>402001</v>
      </c>
      <c r="M134" s="5">
        <v>11139</v>
      </c>
    </row>
    <row r="135" spans="1:13" ht="31.5" x14ac:dyDescent="0.25">
      <c r="A135" s="5" t="s">
        <v>135</v>
      </c>
      <c r="B135" s="5" t="s">
        <v>134</v>
      </c>
      <c r="C135" s="5">
        <v>1</v>
      </c>
      <c r="D135" s="5">
        <v>6748</v>
      </c>
      <c r="E135" s="5" t="s">
        <v>83</v>
      </c>
      <c r="F135" s="3">
        <f>VLOOKUP(L123,'[1]GL Lookups'!$A:$E,5,FALSE)</f>
        <v>310000</v>
      </c>
      <c r="G135" s="3" t="s">
        <v>613</v>
      </c>
      <c r="H135" s="3" t="s">
        <v>614</v>
      </c>
      <c r="I135" s="4" t="s">
        <v>588</v>
      </c>
      <c r="J135" s="3" t="s">
        <v>663</v>
      </c>
      <c r="K135" s="7">
        <f>ROUND(23785.43,2)</f>
        <v>23785.43</v>
      </c>
      <c r="L135" s="5">
        <v>200316</v>
      </c>
      <c r="M135" s="5" t="s">
        <v>136</v>
      </c>
    </row>
    <row r="136" spans="1:13" ht="15.75" x14ac:dyDescent="0.25">
      <c r="A136" s="5" t="s">
        <v>122</v>
      </c>
      <c r="B136" s="5" t="s">
        <v>183</v>
      </c>
      <c r="C136" s="5">
        <v>1</v>
      </c>
      <c r="D136" s="5">
        <v>12630</v>
      </c>
      <c r="E136" s="5" t="s">
        <v>184</v>
      </c>
      <c r="F136" s="3">
        <f>VLOOKUP(L124,'[1]GL Lookups'!$A:$E,5,FALSE)</f>
        <v>150000</v>
      </c>
      <c r="G136" s="3" t="s">
        <v>601</v>
      </c>
      <c r="H136" s="3" t="s">
        <v>598</v>
      </c>
      <c r="I136" s="1" t="s">
        <v>588</v>
      </c>
      <c r="J136" s="3" t="e">
        <v>#N/A</v>
      </c>
      <c r="K136" s="7">
        <f>ROUND(929970,2)</f>
        <v>929970</v>
      </c>
      <c r="L136" s="5">
        <v>401020</v>
      </c>
      <c r="M136" s="5" t="s">
        <v>185</v>
      </c>
    </row>
    <row r="137" spans="1:13" ht="31.5" x14ac:dyDescent="0.25">
      <c r="A137" s="5" t="s">
        <v>122</v>
      </c>
      <c r="B137" s="5" t="s">
        <v>190</v>
      </c>
      <c r="C137" s="5">
        <v>1</v>
      </c>
      <c r="D137" s="5">
        <v>9973</v>
      </c>
      <c r="E137" s="5" t="s">
        <v>191</v>
      </c>
      <c r="F137" s="3">
        <f>VLOOKUP(L125,'[1]GL Lookups'!$A:$E,5,FALSE)</f>
        <v>390000</v>
      </c>
      <c r="G137" s="3" t="s">
        <v>585</v>
      </c>
      <c r="H137" s="3" t="s">
        <v>587</v>
      </c>
      <c r="I137" s="1" t="s">
        <v>588</v>
      </c>
      <c r="J137" s="3" t="e">
        <v>#N/A</v>
      </c>
      <c r="K137" s="7">
        <f>ROUND(37924.45,2)</f>
        <v>37924.449999999997</v>
      </c>
      <c r="L137" s="5">
        <v>200311</v>
      </c>
      <c r="M137" s="5" t="s">
        <v>175</v>
      </c>
    </row>
    <row r="138" spans="1:13" ht="31.5" x14ac:dyDescent="0.25">
      <c r="A138" s="5" t="s">
        <v>122</v>
      </c>
      <c r="B138" s="5" t="s">
        <v>196</v>
      </c>
      <c r="C138" s="5">
        <v>1</v>
      </c>
      <c r="D138" s="5">
        <v>7473</v>
      </c>
      <c r="E138" s="5" t="s">
        <v>197</v>
      </c>
      <c r="F138" s="3">
        <f>VLOOKUP(L126,'[1]GL Lookups'!$A:$E,5,FALSE)</f>
        <v>210000</v>
      </c>
      <c r="G138" s="3" t="s">
        <v>600</v>
      </c>
      <c r="H138" s="3" t="s">
        <v>576</v>
      </c>
      <c r="I138" s="1" t="s">
        <v>582</v>
      </c>
      <c r="J138" s="3" t="e">
        <v>#N/A</v>
      </c>
      <c r="K138" s="7">
        <f>ROUND(8088,2)</f>
        <v>8088</v>
      </c>
      <c r="L138" s="5">
        <v>400100</v>
      </c>
      <c r="M138" s="5" t="s">
        <v>198</v>
      </c>
    </row>
    <row r="139" spans="1:13" ht="47.25" x14ac:dyDescent="0.25">
      <c r="A139" s="5" t="s">
        <v>122</v>
      </c>
      <c r="B139" s="5" t="s">
        <v>194</v>
      </c>
      <c r="C139" s="5">
        <v>1</v>
      </c>
      <c r="D139" s="5">
        <v>1644</v>
      </c>
      <c r="E139" s="5" t="s">
        <v>195</v>
      </c>
      <c r="F139" s="3">
        <v>270000</v>
      </c>
      <c r="G139" s="3" t="s">
        <v>578</v>
      </c>
      <c r="H139" s="3" t="s">
        <v>579</v>
      </c>
      <c r="I139" s="6" t="s">
        <v>577</v>
      </c>
      <c r="J139" s="3" t="s">
        <v>667</v>
      </c>
      <c r="K139" s="7">
        <f>ROUND(8660,2)</f>
        <v>8660</v>
      </c>
      <c r="L139" s="5">
        <v>402004</v>
      </c>
      <c r="M139" s="5">
        <v>11073</v>
      </c>
    </row>
    <row r="140" spans="1:13" ht="47.25" x14ac:dyDescent="0.25">
      <c r="A140" s="5" t="s">
        <v>122</v>
      </c>
      <c r="B140" s="5" t="s">
        <v>199</v>
      </c>
      <c r="C140" s="5">
        <v>1</v>
      </c>
      <c r="D140" s="5">
        <v>16824</v>
      </c>
      <c r="E140" s="5" t="s">
        <v>200</v>
      </c>
      <c r="F140" s="3">
        <f>VLOOKUP(L128,'[1]GL Lookups'!$A:$E,5,FALSE)</f>
        <v>391114</v>
      </c>
      <c r="G140" s="3" t="s">
        <v>615</v>
      </c>
      <c r="H140" s="3" t="s">
        <v>616</v>
      </c>
      <c r="I140" s="1" t="s">
        <v>582</v>
      </c>
      <c r="J140" s="3" t="e">
        <v>#N/A</v>
      </c>
      <c r="K140" s="7">
        <f>ROUND(8675,2)</f>
        <v>8675</v>
      </c>
      <c r="L140" s="5">
        <v>200316</v>
      </c>
      <c r="M140" s="5" t="s">
        <v>198</v>
      </c>
    </row>
    <row r="141" spans="1:13" ht="31.5" x14ac:dyDescent="0.25">
      <c r="A141" s="5" t="s">
        <v>122</v>
      </c>
      <c r="B141" s="5" t="s">
        <v>192</v>
      </c>
      <c r="C141" s="5">
        <v>1</v>
      </c>
      <c r="D141" s="5">
        <v>9019</v>
      </c>
      <c r="E141" s="5" t="s">
        <v>193</v>
      </c>
      <c r="F141" s="3">
        <v>260000</v>
      </c>
      <c r="G141" s="3" t="s">
        <v>604</v>
      </c>
      <c r="H141" s="3" t="s">
        <v>610</v>
      </c>
      <c r="I141" s="6" t="s">
        <v>577</v>
      </c>
      <c r="J141" s="3" t="s">
        <v>651</v>
      </c>
      <c r="K141" s="7">
        <f>ROUND(11370,2)</f>
        <v>11370</v>
      </c>
      <c r="L141" s="5">
        <v>102020</v>
      </c>
      <c r="M141" s="5">
        <v>13044</v>
      </c>
    </row>
    <row r="142" spans="1:13" ht="31.5" x14ac:dyDescent="0.25">
      <c r="A142" s="5" t="s">
        <v>122</v>
      </c>
      <c r="B142" s="5" t="s">
        <v>192</v>
      </c>
      <c r="C142" s="5">
        <v>2</v>
      </c>
      <c r="D142" s="5">
        <v>9019</v>
      </c>
      <c r="E142" s="5" t="s">
        <v>193</v>
      </c>
      <c r="F142" s="3">
        <v>260000</v>
      </c>
      <c r="G142" s="3" t="s">
        <v>604</v>
      </c>
      <c r="H142" s="3" t="s">
        <v>610</v>
      </c>
      <c r="I142" s="6" t="s">
        <v>577</v>
      </c>
      <c r="J142" s="3" t="s">
        <v>651</v>
      </c>
      <c r="K142" s="7">
        <f>ROUND(4770,2)</f>
        <v>4770</v>
      </c>
      <c r="L142" s="5">
        <v>102020</v>
      </c>
      <c r="M142" s="5">
        <v>13044</v>
      </c>
    </row>
    <row r="143" spans="1:13" ht="47.25" x14ac:dyDescent="0.25">
      <c r="A143" s="5" t="s">
        <v>122</v>
      </c>
      <c r="B143" s="5" t="s">
        <v>202</v>
      </c>
      <c r="C143" s="5">
        <v>1</v>
      </c>
      <c r="D143" s="5">
        <v>6748</v>
      </c>
      <c r="E143" s="5" t="s">
        <v>83</v>
      </c>
      <c r="F143" s="3">
        <f>VLOOKUP(L131,'[1]GL Lookups'!$A:$E,5,FALSE)</f>
        <v>270000</v>
      </c>
      <c r="G143" s="3" t="s">
        <v>578</v>
      </c>
      <c r="H143" s="3" t="s">
        <v>579</v>
      </c>
      <c r="I143" s="4" t="s">
        <v>588</v>
      </c>
      <c r="J143" s="3" t="s">
        <v>665</v>
      </c>
      <c r="K143" s="7">
        <f>ROUND(18818.79,2)</f>
        <v>18818.79</v>
      </c>
      <c r="L143" s="5">
        <v>401020</v>
      </c>
      <c r="M143" s="5" t="s">
        <v>201</v>
      </c>
    </row>
    <row r="144" spans="1:13" ht="31.5" x14ac:dyDescent="0.25">
      <c r="A144" s="5" t="s">
        <v>0</v>
      </c>
      <c r="B144" s="5" t="s">
        <v>153</v>
      </c>
      <c r="C144" s="5">
        <v>1</v>
      </c>
      <c r="D144" s="5">
        <v>1382</v>
      </c>
      <c r="E144" s="5" t="s">
        <v>42</v>
      </c>
      <c r="F144" s="3">
        <v>320000</v>
      </c>
      <c r="G144" s="3" t="s">
        <v>595</v>
      </c>
      <c r="H144" s="3" t="s">
        <v>612</v>
      </c>
      <c r="I144" s="6" t="s">
        <v>588</v>
      </c>
      <c r="J144" s="3" t="s">
        <v>668</v>
      </c>
      <c r="K144" s="7">
        <f>ROUND(20277.5,2)</f>
        <v>20277.5</v>
      </c>
      <c r="L144" s="5">
        <v>402403</v>
      </c>
      <c r="M144" s="5">
        <v>13258</v>
      </c>
    </row>
    <row r="145" spans="1:13" ht="31.5" x14ac:dyDescent="0.25">
      <c r="A145" s="5" t="s">
        <v>0</v>
      </c>
      <c r="B145" s="5" t="s">
        <v>152</v>
      </c>
      <c r="C145" s="5">
        <v>1</v>
      </c>
      <c r="D145" s="5">
        <v>1799</v>
      </c>
      <c r="E145" s="5" t="s">
        <v>68</v>
      </c>
      <c r="F145" s="3">
        <v>320000</v>
      </c>
      <c r="G145" s="3" t="s">
        <v>595</v>
      </c>
      <c r="H145" s="3" t="s">
        <v>612</v>
      </c>
      <c r="I145" s="6" t="s">
        <v>588</v>
      </c>
      <c r="J145" s="3" t="s">
        <v>668</v>
      </c>
      <c r="K145" s="7">
        <f>ROUND(17166.5,2)</f>
        <v>17166.5</v>
      </c>
      <c r="L145" s="5">
        <v>402403</v>
      </c>
      <c r="M145" s="5">
        <v>13258</v>
      </c>
    </row>
    <row r="146" spans="1:13" ht="31.5" x14ac:dyDescent="0.25">
      <c r="A146" s="5" t="s">
        <v>0</v>
      </c>
      <c r="B146" s="5" t="s">
        <v>150</v>
      </c>
      <c r="C146" s="5">
        <v>1</v>
      </c>
      <c r="D146" s="5">
        <v>9316</v>
      </c>
      <c r="E146" s="5" t="s">
        <v>151</v>
      </c>
      <c r="F146" s="3">
        <v>320000</v>
      </c>
      <c r="G146" s="3" t="s">
        <v>595</v>
      </c>
      <c r="H146" s="3" t="s">
        <v>612</v>
      </c>
      <c r="I146" s="6" t="s">
        <v>588</v>
      </c>
      <c r="J146" s="3" t="s">
        <v>668</v>
      </c>
      <c r="K146" s="7">
        <f>ROUND(16159.37,2)</f>
        <v>16159.37</v>
      </c>
      <c r="L146" s="5">
        <v>402403</v>
      </c>
      <c r="M146" s="5">
        <v>13258</v>
      </c>
    </row>
    <row r="147" spans="1:13" ht="15.75" x14ac:dyDescent="0.25">
      <c r="A147" s="5" t="s">
        <v>0</v>
      </c>
      <c r="B147" s="5" t="s">
        <v>188</v>
      </c>
      <c r="C147" s="5">
        <v>1</v>
      </c>
      <c r="D147" s="5">
        <v>7025</v>
      </c>
      <c r="E147" s="5" t="s">
        <v>27</v>
      </c>
      <c r="F147" s="3">
        <v>150000</v>
      </c>
      <c r="G147" s="3" t="s">
        <v>601</v>
      </c>
      <c r="H147" s="3" t="s">
        <v>598</v>
      </c>
      <c r="I147" s="6" t="s">
        <v>582</v>
      </c>
      <c r="J147" s="3" t="s">
        <v>649</v>
      </c>
      <c r="K147" s="7">
        <f>ROUND(13750,2)</f>
        <v>13750</v>
      </c>
      <c r="L147" s="5">
        <v>401020</v>
      </c>
      <c r="M147" s="5">
        <v>12328</v>
      </c>
    </row>
    <row r="148" spans="1:13" ht="15.75" x14ac:dyDescent="0.25">
      <c r="A148" s="5" t="s">
        <v>0</v>
      </c>
      <c r="B148" s="5" t="s">
        <v>188</v>
      </c>
      <c r="C148" s="5">
        <v>2</v>
      </c>
      <c r="D148" s="5">
        <v>7025</v>
      </c>
      <c r="E148" s="5" t="s">
        <v>27</v>
      </c>
      <c r="F148" s="3">
        <v>150000</v>
      </c>
      <c r="G148" s="3" t="s">
        <v>601</v>
      </c>
      <c r="H148" s="3" t="s">
        <v>598</v>
      </c>
      <c r="I148" s="6" t="s">
        <v>582</v>
      </c>
      <c r="J148" s="3" t="s">
        <v>649</v>
      </c>
      <c r="K148" s="7">
        <f>ROUND(6250,2)</f>
        <v>6250</v>
      </c>
      <c r="L148" s="5">
        <v>401020</v>
      </c>
      <c r="M148" s="5">
        <v>12328</v>
      </c>
    </row>
    <row r="149" spans="1:13" ht="15.75" x14ac:dyDescent="0.25">
      <c r="A149" s="5" t="s">
        <v>0</v>
      </c>
      <c r="B149" s="5" t="s">
        <v>187</v>
      </c>
      <c r="C149" s="5">
        <v>1</v>
      </c>
      <c r="D149" s="5">
        <v>7025</v>
      </c>
      <c r="E149" s="5" t="s">
        <v>27</v>
      </c>
      <c r="F149" s="3">
        <v>150000</v>
      </c>
      <c r="G149" s="3" t="s">
        <v>601</v>
      </c>
      <c r="H149" s="3" t="s">
        <v>598</v>
      </c>
      <c r="I149" s="6" t="s">
        <v>582</v>
      </c>
      <c r="J149" s="3" t="s">
        <v>649</v>
      </c>
      <c r="K149" s="7">
        <f>ROUND(18750,2)</f>
        <v>18750</v>
      </c>
      <c r="L149" s="5">
        <v>401020</v>
      </c>
      <c r="M149" s="5">
        <v>12328</v>
      </c>
    </row>
    <row r="150" spans="1:13" ht="15.75" x14ac:dyDescent="0.25">
      <c r="A150" s="5" t="s">
        <v>0</v>
      </c>
      <c r="B150" s="5" t="s">
        <v>187</v>
      </c>
      <c r="C150" s="5">
        <v>2</v>
      </c>
      <c r="D150" s="5">
        <v>7025</v>
      </c>
      <c r="E150" s="5" t="s">
        <v>27</v>
      </c>
      <c r="F150" s="3">
        <v>150000</v>
      </c>
      <c r="G150" s="3" t="s">
        <v>601</v>
      </c>
      <c r="H150" s="3" t="s">
        <v>598</v>
      </c>
      <c r="I150" s="6" t="s">
        <v>582</v>
      </c>
      <c r="J150" s="3" t="s">
        <v>649</v>
      </c>
      <c r="K150" s="7">
        <f>ROUND(6250,2)</f>
        <v>6250</v>
      </c>
      <c r="L150" s="5">
        <v>401020</v>
      </c>
      <c r="M150" s="5">
        <v>12328</v>
      </c>
    </row>
    <row r="151" spans="1:13" ht="47.25" x14ac:dyDescent="0.25">
      <c r="A151" s="5" t="s">
        <v>0</v>
      </c>
      <c r="B151" s="5" t="s">
        <v>203</v>
      </c>
      <c r="C151" s="5">
        <v>1</v>
      </c>
      <c r="D151" s="5">
        <v>544</v>
      </c>
      <c r="E151" s="5" t="s">
        <v>59</v>
      </c>
      <c r="F151" s="3">
        <v>270000</v>
      </c>
      <c r="G151" s="3" t="s">
        <v>578</v>
      </c>
      <c r="H151" s="3" t="s">
        <v>579</v>
      </c>
      <c r="I151" s="6" t="s">
        <v>577</v>
      </c>
      <c r="J151" s="3" t="s">
        <v>667</v>
      </c>
      <c r="K151" s="7">
        <f>ROUND(637.92,2)</f>
        <v>637.91999999999996</v>
      </c>
      <c r="L151" s="5">
        <v>402010</v>
      </c>
      <c r="M151" s="5">
        <v>11073</v>
      </c>
    </row>
    <row r="152" spans="1:13" ht="47.25" x14ac:dyDescent="0.25">
      <c r="A152" s="5" t="s">
        <v>0</v>
      </c>
      <c r="B152" s="5" t="s">
        <v>203</v>
      </c>
      <c r="C152" s="5">
        <v>2</v>
      </c>
      <c r="D152" s="5">
        <v>544</v>
      </c>
      <c r="E152" s="5" t="s">
        <v>59</v>
      </c>
      <c r="F152" s="3">
        <v>270000</v>
      </c>
      <c r="G152" s="3" t="s">
        <v>578</v>
      </c>
      <c r="H152" s="3" t="s">
        <v>579</v>
      </c>
      <c r="I152" s="6" t="s">
        <v>577</v>
      </c>
      <c r="J152" s="3" t="s">
        <v>667</v>
      </c>
      <c r="K152" s="7">
        <f>ROUND(1594.8,2)</f>
        <v>1594.8</v>
      </c>
      <c r="L152" s="5">
        <v>402010</v>
      </c>
      <c r="M152" s="5">
        <v>11073</v>
      </c>
    </row>
    <row r="153" spans="1:13" ht="47.25" x14ac:dyDescent="0.25">
      <c r="A153" s="5" t="s">
        <v>0</v>
      </c>
      <c r="B153" s="5" t="s">
        <v>203</v>
      </c>
      <c r="C153" s="5">
        <v>3</v>
      </c>
      <c r="D153" s="5">
        <v>544</v>
      </c>
      <c r="E153" s="5" t="s">
        <v>59</v>
      </c>
      <c r="F153" s="3">
        <v>270000</v>
      </c>
      <c r="G153" s="3" t="s">
        <v>578</v>
      </c>
      <c r="H153" s="3" t="s">
        <v>579</v>
      </c>
      <c r="I153" s="6" t="s">
        <v>577</v>
      </c>
      <c r="J153" s="3" t="s">
        <v>667</v>
      </c>
      <c r="K153" s="7">
        <f>ROUND(318.96,2)</f>
        <v>318.95999999999998</v>
      </c>
      <c r="L153" s="5">
        <v>402010</v>
      </c>
      <c r="M153" s="5">
        <v>11073</v>
      </c>
    </row>
    <row r="154" spans="1:13" ht="47.25" x14ac:dyDescent="0.25">
      <c r="A154" s="5" t="s">
        <v>0</v>
      </c>
      <c r="B154" s="5" t="s">
        <v>203</v>
      </c>
      <c r="C154" s="5">
        <v>4</v>
      </c>
      <c r="D154" s="5">
        <v>544</v>
      </c>
      <c r="E154" s="5" t="s">
        <v>59</v>
      </c>
      <c r="F154" s="3">
        <v>270000</v>
      </c>
      <c r="G154" s="3" t="s">
        <v>578</v>
      </c>
      <c r="H154" s="3" t="s">
        <v>579</v>
      </c>
      <c r="I154" s="6" t="s">
        <v>577</v>
      </c>
      <c r="J154" s="3" t="s">
        <v>667</v>
      </c>
      <c r="K154" s="7">
        <f>ROUND(8959.68,2)</f>
        <v>8959.68</v>
      </c>
      <c r="L154" s="5">
        <v>402010</v>
      </c>
      <c r="M154" s="5">
        <v>11073</v>
      </c>
    </row>
    <row r="155" spans="1:13" ht="47.25" x14ac:dyDescent="0.25">
      <c r="A155" s="5" t="s">
        <v>0</v>
      </c>
      <c r="B155" s="5" t="s">
        <v>203</v>
      </c>
      <c r="C155" s="5">
        <v>5</v>
      </c>
      <c r="D155" s="5">
        <v>544</v>
      </c>
      <c r="E155" s="5" t="s">
        <v>59</v>
      </c>
      <c r="F155" s="3">
        <v>270000</v>
      </c>
      <c r="G155" s="3" t="s">
        <v>578</v>
      </c>
      <c r="H155" s="3" t="s">
        <v>579</v>
      </c>
      <c r="I155" s="6" t="s">
        <v>577</v>
      </c>
      <c r="J155" s="3" t="s">
        <v>667</v>
      </c>
      <c r="K155" s="7">
        <f>ROUND(29136.24,2)</f>
        <v>29136.240000000002</v>
      </c>
      <c r="L155" s="5">
        <v>402010</v>
      </c>
      <c r="M155" s="5">
        <v>11073</v>
      </c>
    </row>
    <row r="156" spans="1:13" ht="47.25" x14ac:dyDescent="0.25">
      <c r="A156" s="5" t="s">
        <v>0</v>
      </c>
      <c r="B156" s="5" t="s">
        <v>215</v>
      </c>
      <c r="C156" s="5">
        <v>1</v>
      </c>
      <c r="D156" s="5">
        <v>5554</v>
      </c>
      <c r="E156" s="5" t="s">
        <v>216</v>
      </c>
      <c r="F156" s="3">
        <v>270000</v>
      </c>
      <c r="G156" s="3" t="s">
        <v>578</v>
      </c>
      <c r="H156" s="3" t="s">
        <v>579</v>
      </c>
      <c r="I156" s="6" t="s">
        <v>577</v>
      </c>
      <c r="J156" s="3" t="s">
        <v>666</v>
      </c>
      <c r="K156" s="7">
        <f>ROUND(14470,2)</f>
        <v>14470</v>
      </c>
      <c r="L156" s="5">
        <v>402010</v>
      </c>
      <c r="M156" s="5">
        <v>11139</v>
      </c>
    </row>
    <row r="157" spans="1:13" ht="15.75" x14ac:dyDescent="0.25">
      <c r="A157" s="5" t="s">
        <v>62</v>
      </c>
      <c r="B157" s="5" t="s">
        <v>206</v>
      </c>
      <c r="C157" s="5">
        <v>1</v>
      </c>
      <c r="D157" s="5">
        <v>11021</v>
      </c>
      <c r="E157" s="5" t="s">
        <v>207</v>
      </c>
      <c r="F157" s="3">
        <v>150000</v>
      </c>
      <c r="G157" s="3" t="s">
        <v>601</v>
      </c>
      <c r="H157" s="3" t="s">
        <v>598</v>
      </c>
      <c r="I157" s="6" t="s">
        <v>588</v>
      </c>
      <c r="J157" s="3" t="s">
        <v>645</v>
      </c>
      <c r="K157" s="7">
        <f>ROUND(98243.39,2)</f>
        <v>98243.39</v>
      </c>
      <c r="L157" s="5">
        <v>401020</v>
      </c>
      <c r="M157" s="5">
        <v>10472</v>
      </c>
    </row>
    <row r="158" spans="1:13" ht="31.5" x14ac:dyDescent="0.25">
      <c r="A158" s="5" t="s">
        <v>62</v>
      </c>
      <c r="B158" s="5" t="s">
        <v>220</v>
      </c>
      <c r="C158" s="5">
        <v>1</v>
      </c>
      <c r="D158" s="5">
        <v>6748</v>
      </c>
      <c r="E158" s="5" t="s">
        <v>83</v>
      </c>
      <c r="F158" s="3">
        <f>VLOOKUP(L146,'[1]GL Lookups'!$A:$E,5,FALSE)</f>
        <v>320000</v>
      </c>
      <c r="G158" s="3" t="s">
        <v>595</v>
      </c>
      <c r="H158" s="3" t="s">
        <v>612</v>
      </c>
      <c r="I158" s="4" t="s">
        <v>588</v>
      </c>
      <c r="J158" s="3" t="s">
        <v>668</v>
      </c>
      <c r="K158" s="7">
        <f>ROUND(104281.37,2)</f>
        <v>104281.37</v>
      </c>
      <c r="L158" s="5">
        <v>401600</v>
      </c>
      <c r="M158" s="5" t="s">
        <v>221</v>
      </c>
    </row>
    <row r="159" spans="1:13" ht="15.75" x14ac:dyDescent="0.25">
      <c r="A159" s="5" t="s">
        <v>62</v>
      </c>
      <c r="B159" s="5" t="s">
        <v>225</v>
      </c>
      <c r="C159" s="5">
        <v>1</v>
      </c>
      <c r="D159" s="5">
        <v>6342</v>
      </c>
      <c r="E159" s="5" t="s">
        <v>226</v>
      </c>
      <c r="F159" s="3">
        <f>VLOOKUP(L147,'[1]GL Lookups'!$A:$E,5,FALSE)</f>
        <v>150000</v>
      </c>
      <c r="G159" s="3" t="s">
        <v>601</v>
      </c>
      <c r="H159" s="3" t="s">
        <v>598</v>
      </c>
      <c r="I159" s="4" t="s">
        <v>582</v>
      </c>
      <c r="J159" s="3" t="s">
        <v>649</v>
      </c>
      <c r="K159" s="7">
        <f>ROUND(16456.79,2)</f>
        <v>16456.79</v>
      </c>
      <c r="L159" s="5">
        <v>401600</v>
      </c>
      <c r="M159" s="5" t="s">
        <v>169</v>
      </c>
    </row>
    <row r="160" spans="1:13" ht="15.75" x14ac:dyDescent="0.25">
      <c r="A160" s="5" t="s">
        <v>62</v>
      </c>
      <c r="B160" s="5" t="s">
        <v>227</v>
      </c>
      <c r="C160" s="5">
        <v>1</v>
      </c>
      <c r="D160" s="5">
        <v>16831</v>
      </c>
      <c r="E160" s="5" t="s">
        <v>228</v>
      </c>
      <c r="F160" s="3">
        <f>VLOOKUP(L148,'[1]GL Lookups'!$A:$E,5,FALSE)</f>
        <v>150000</v>
      </c>
      <c r="G160" s="3" t="s">
        <v>601</v>
      </c>
      <c r="H160" s="3" t="s">
        <v>598</v>
      </c>
      <c r="I160" s="4" t="s">
        <v>582</v>
      </c>
      <c r="J160" s="3" t="s">
        <v>649</v>
      </c>
      <c r="K160" s="7">
        <f>ROUND(205786,2)</f>
        <v>205786</v>
      </c>
      <c r="L160" s="5">
        <v>200311</v>
      </c>
      <c r="M160" s="5" t="s">
        <v>229</v>
      </c>
    </row>
    <row r="161" spans="1:13" ht="31.5" x14ac:dyDescent="0.25">
      <c r="A161" s="5" t="s">
        <v>62</v>
      </c>
      <c r="B161" s="5" t="s">
        <v>222</v>
      </c>
      <c r="C161" s="5">
        <v>1</v>
      </c>
      <c r="D161" s="5">
        <v>16832</v>
      </c>
      <c r="E161" s="5" t="s">
        <v>223</v>
      </c>
      <c r="F161" s="3">
        <v>190000</v>
      </c>
      <c r="G161" s="3" t="s">
        <v>617</v>
      </c>
      <c r="H161" s="3" t="s">
        <v>618</v>
      </c>
      <c r="I161" s="6" t="s">
        <v>582</v>
      </c>
      <c r="J161" s="3" t="s">
        <v>669</v>
      </c>
      <c r="K161" s="7">
        <f>ROUND(103200,2)</f>
        <v>103200</v>
      </c>
      <c r="L161" s="5">
        <v>400700</v>
      </c>
      <c r="M161" s="5">
        <v>13267</v>
      </c>
    </row>
    <row r="162" spans="1:13" ht="15.75" x14ac:dyDescent="0.25">
      <c r="A162" s="5" t="s">
        <v>62</v>
      </c>
      <c r="B162" s="5" t="s">
        <v>181</v>
      </c>
      <c r="C162" s="5">
        <v>1</v>
      </c>
      <c r="D162" s="5">
        <v>5214</v>
      </c>
      <c r="E162" s="5" t="s">
        <v>182</v>
      </c>
      <c r="F162" s="3">
        <v>150000</v>
      </c>
      <c r="G162" s="3" t="s">
        <v>601</v>
      </c>
      <c r="H162" s="3" t="s">
        <v>598</v>
      </c>
      <c r="I162" s="6" t="s">
        <v>582</v>
      </c>
      <c r="J162" s="3" t="s">
        <v>670</v>
      </c>
      <c r="K162" s="7">
        <f>ROUND(170391.11,2)</f>
        <v>170391.11</v>
      </c>
      <c r="L162" s="5">
        <v>401020</v>
      </c>
      <c r="M162" s="5">
        <v>13107</v>
      </c>
    </row>
    <row r="163" spans="1:13" ht="15.75" x14ac:dyDescent="0.25">
      <c r="A163" s="5" t="s">
        <v>62</v>
      </c>
      <c r="B163" s="5" t="s">
        <v>104</v>
      </c>
      <c r="C163" s="5">
        <v>1</v>
      </c>
      <c r="D163" s="5">
        <v>5915</v>
      </c>
      <c r="E163" s="5" t="s">
        <v>4</v>
      </c>
      <c r="F163" s="3">
        <v>150000</v>
      </c>
      <c r="G163" s="3" t="s">
        <v>601</v>
      </c>
      <c r="H163" s="3" t="s">
        <v>598</v>
      </c>
      <c r="I163" s="6" t="s">
        <v>582</v>
      </c>
      <c r="J163" s="3" t="s">
        <v>671</v>
      </c>
      <c r="K163" s="7">
        <f>ROUND(190253.2,2)</f>
        <v>190253.2</v>
      </c>
      <c r="L163" s="5">
        <v>401020</v>
      </c>
      <c r="M163" s="5">
        <v>11965</v>
      </c>
    </row>
    <row r="164" spans="1:13" ht="47.25" x14ac:dyDescent="0.25">
      <c r="A164" s="5" t="s">
        <v>62</v>
      </c>
      <c r="B164" s="5" t="s">
        <v>224</v>
      </c>
      <c r="C164" s="5">
        <v>1</v>
      </c>
      <c r="D164" s="5">
        <v>14619</v>
      </c>
      <c r="E164" s="5" t="s">
        <v>30</v>
      </c>
      <c r="F164" s="3">
        <f>VLOOKUP(L152,'[1]GL Lookups'!$A:$E,5,FALSE)</f>
        <v>270000</v>
      </c>
      <c r="G164" s="3" t="s">
        <v>578</v>
      </c>
      <c r="H164" s="3" t="s">
        <v>579</v>
      </c>
      <c r="I164" s="4" t="s">
        <v>577</v>
      </c>
      <c r="J164" s="3" t="s">
        <v>667</v>
      </c>
      <c r="K164" s="7">
        <f>ROUND(28845,2)</f>
        <v>28845</v>
      </c>
      <c r="L164" s="5">
        <v>401007</v>
      </c>
      <c r="M164" s="5" t="s">
        <v>175</v>
      </c>
    </row>
    <row r="165" spans="1:13" ht="47.25" x14ac:dyDescent="0.25">
      <c r="A165" s="5" t="s">
        <v>62</v>
      </c>
      <c r="B165" s="5" t="s">
        <v>217</v>
      </c>
      <c r="C165" s="5">
        <v>1</v>
      </c>
      <c r="D165" s="5">
        <v>16822</v>
      </c>
      <c r="E165" s="5" t="s">
        <v>218</v>
      </c>
      <c r="F165" s="3">
        <f>VLOOKUP(L153,'[1]GL Lookups'!$A:$E,5,FALSE)</f>
        <v>270000</v>
      </c>
      <c r="G165" s="3" t="s">
        <v>578</v>
      </c>
      <c r="H165" s="3" t="s">
        <v>579</v>
      </c>
      <c r="I165" s="4" t="s">
        <v>577</v>
      </c>
      <c r="J165" s="3" t="s">
        <v>667</v>
      </c>
      <c r="K165" s="7">
        <f>ROUND(19050,2)</f>
        <v>19050</v>
      </c>
      <c r="L165" s="5">
        <v>401020</v>
      </c>
      <c r="M165" s="5" t="s">
        <v>219</v>
      </c>
    </row>
    <row r="166" spans="1:13" ht="47.25" x14ac:dyDescent="0.25">
      <c r="A166" s="5" t="s">
        <v>177</v>
      </c>
      <c r="B166" s="5" t="s">
        <v>212</v>
      </c>
      <c r="C166" s="5">
        <v>1</v>
      </c>
      <c r="D166" s="5">
        <v>8561</v>
      </c>
      <c r="E166" s="5" t="s">
        <v>213</v>
      </c>
      <c r="F166" s="3">
        <f>VLOOKUP(L154,'[1]GL Lookups'!$A:$E,5,FALSE)</f>
        <v>270000</v>
      </c>
      <c r="G166" s="3" t="s">
        <v>578</v>
      </c>
      <c r="H166" s="3" t="s">
        <v>579</v>
      </c>
      <c r="I166" s="4" t="s">
        <v>577</v>
      </c>
      <c r="J166" s="3" t="s">
        <v>667</v>
      </c>
      <c r="K166" s="7">
        <f>ROUND(25000,2)</f>
        <v>25000</v>
      </c>
      <c r="L166" s="5">
        <v>401600</v>
      </c>
      <c r="M166" s="5" t="s">
        <v>214</v>
      </c>
    </row>
    <row r="167" spans="1:13" ht="31.5" x14ac:dyDescent="0.25">
      <c r="A167" s="5" t="s">
        <v>177</v>
      </c>
      <c r="B167" s="5" t="s">
        <v>238</v>
      </c>
      <c r="C167" s="5">
        <v>1</v>
      </c>
      <c r="D167" s="5">
        <v>3529</v>
      </c>
      <c r="E167" s="5" t="s">
        <v>12</v>
      </c>
      <c r="F167" s="3">
        <v>181800</v>
      </c>
      <c r="G167" s="3" t="s">
        <v>575</v>
      </c>
      <c r="H167" s="3" t="s">
        <v>576</v>
      </c>
      <c r="I167" s="6" t="s">
        <v>582</v>
      </c>
      <c r="J167" s="3" t="s">
        <v>672</v>
      </c>
      <c r="K167" s="7">
        <f>ROUND(8000,2)</f>
        <v>8000</v>
      </c>
      <c r="L167" s="5">
        <v>400110</v>
      </c>
      <c r="M167" s="5">
        <v>10897</v>
      </c>
    </row>
    <row r="168" spans="1:13" ht="15.75" x14ac:dyDescent="0.25">
      <c r="A168" s="5" t="s">
        <v>177</v>
      </c>
      <c r="B168" s="5" t="s">
        <v>176</v>
      </c>
      <c r="C168" s="5">
        <v>1</v>
      </c>
      <c r="D168" s="5">
        <v>16099</v>
      </c>
      <c r="E168" s="5" t="s">
        <v>178</v>
      </c>
      <c r="F168" s="3">
        <v>150000</v>
      </c>
      <c r="G168" s="3" t="s">
        <v>601</v>
      </c>
      <c r="H168" s="3" t="s">
        <v>598</v>
      </c>
      <c r="I168" s="6" t="s">
        <v>588</v>
      </c>
      <c r="J168" s="3" t="s">
        <v>673</v>
      </c>
      <c r="K168" s="7">
        <f>ROUND(8500,2)</f>
        <v>8500</v>
      </c>
      <c r="L168" s="5">
        <v>401020</v>
      </c>
      <c r="M168" s="5">
        <v>11424</v>
      </c>
    </row>
    <row r="169" spans="1:13" ht="47.25" x14ac:dyDescent="0.25">
      <c r="A169" s="5" t="s">
        <v>204</v>
      </c>
      <c r="B169" s="5" t="s">
        <v>237</v>
      </c>
      <c r="C169" s="5">
        <v>1</v>
      </c>
      <c r="D169" s="5">
        <v>35</v>
      </c>
      <c r="E169" s="5" t="s">
        <v>15</v>
      </c>
      <c r="F169" s="3">
        <v>270000</v>
      </c>
      <c r="G169" s="3" t="s">
        <v>578</v>
      </c>
      <c r="H169" s="3" t="s">
        <v>579</v>
      </c>
      <c r="I169" s="6" t="s">
        <v>577</v>
      </c>
      <c r="J169" s="3" t="s">
        <v>631</v>
      </c>
      <c r="K169" s="7">
        <f>ROUND(22350,2)</f>
        <v>22350</v>
      </c>
      <c r="L169" s="5">
        <v>402001</v>
      </c>
      <c r="M169" s="5">
        <v>11324</v>
      </c>
    </row>
    <row r="170" spans="1:13" ht="47.25" x14ac:dyDescent="0.25">
      <c r="A170" s="5" t="s">
        <v>204</v>
      </c>
      <c r="B170" s="5" t="s">
        <v>237</v>
      </c>
      <c r="C170" s="5">
        <v>2</v>
      </c>
      <c r="D170" s="5">
        <v>35</v>
      </c>
      <c r="E170" s="5" t="s">
        <v>15</v>
      </c>
      <c r="F170" s="3">
        <v>270000</v>
      </c>
      <c r="G170" s="3" t="s">
        <v>578</v>
      </c>
      <c r="H170" s="3" t="s">
        <v>579</v>
      </c>
      <c r="I170" s="6" t="s">
        <v>577</v>
      </c>
      <c r="J170" s="3" t="s">
        <v>631</v>
      </c>
      <c r="K170" s="7">
        <f>ROUND(120,2)</f>
        <v>120</v>
      </c>
      <c r="L170" s="5">
        <v>402001</v>
      </c>
      <c r="M170" s="5">
        <v>11324</v>
      </c>
    </row>
    <row r="171" spans="1:13" ht="47.25" x14ac:dyDescent="0.25">
      <c r="A171" s="5" t="s">
        <v>204</v>
      </c>
      <c r="B171" s="5" t="s">
        <v>237</v>
      </c>
      <c r="C171" s="5">
        <v>3</v>
      </c>
      <c r="D171" s="5">
        <v>35</v>
      </c>
      <c r="E171" s="5" t="s">
        <v>15</v>
      </c>
      <c r="F171" s="3">
        <v>270000</v>
      </c>
      <c r="G171" s="3" t="s">
        <v>578</v>
      </c>
      <c r="H171" s="3" t="s">
        <v>579</v>
      </c>
      <c r="I171" s="6" t="s">
        <v>577</v>
      </c>
      <c r="J171" s="3" t="s">
        <v>631</v>
      </c>
      <c r="K171" s="7">
        <f>ROUND(1245,2)</f>
        <v>1245</v>
      </c>
      <c r="L171" s="5">
        <v>402001</v>
      </c>
      <c r="M171" s="5">
        <v>11324</v>
      </c>
    </row>
    <row r="172" spans="1:13" ht="47.25" x14ac:dyDescent="0.25">
      <c r="A172" s="5" t="s">
        <v>204</v>
      </c>
      <c r="B172" s="5" t="s">
        <v>237</v>
      </c>
      <c r="C172" s="5">
        <v>4</v>
      </c>
      <c r="D172" s="5">
        <v>35</v>
      </c>
      <c r="E172" s="5" t="s">
        <v>15</v>
      </c>
      <c r="F172" s="3">
        <v>270000</v>
      </c>
      <c r="G172" s="3" t="s">
        <v>578</v>
      </c>
      <c r="H172" s="3" t="s">
        <v>579</v>
      </c>
      <c r="I172" s="6" t="s">
        <v>577</v>
      </c>
      <c r="J172" s="3" t="s">
        <v>631</v>
      </c>
      <c r="K172" s="7">
        <f>ROUND(419.7,2)</f>
        <v>419.7</v>
      </c>
      <c r="L172" s="5">
        <v>402001</v>
      </c>
      <c r="M172" s="5">
        <v>11324</v>
      </c>
    </row>
    <row r="173" spans="1:13" ht="15.75" x14ac:dyDescent="0.25">
      <c r="A173" s="5" t="s">
        <v>204</v>
      </c>
      <c r="B173" s="5" t="s">
        <v>232</v>
      </c>
      <c r="C173" s="5">
        <v>1</v>
      </c>
      <c r="D173" s="5">
        <v>13223</v>
      </c>
      <c r="E173" s="5" t="s">
        <v>233</v>
      </c>
      <c r="F173" s="3">
        <v>260000</v>
      </c>
      <c r="G173" s="3" t="s">
        <v>604</v>
      </c>
      <c r="H173" s="3" t="s">
        <v>605</v>
      </c>
      <c r="I173" s="6" t="s">
        <v>582</v>
      </c>
      <c r="J173" s="3" t="s">
        <v>649</v>
      </c>
      <c r="K173" s="7">
        <f>ROUND(7658,2)</f>
        <v>7658</v>
      </c>
      <c r="L173" s="5">
        <v>100304</v>
      </c>
      <c r="M173" s="5">
        <v>12328</v>
      </c>
    </row>
    <row r="174" spans="1:13" ht="15.75" x14ac:dyDescent="0.25">
      <c r="A174" s="5" t="s">
        <v>204</v>
      </c>
      <c r="B174" s="5" t="s">
        <v>209</v>
      </c>
      <c r="C174" s="5">
        <v>1</v>
      </c>
      <c r="D174" s="5">
        <v>16829</v>
      </c>
      <c r="E174" s="5" t="s">
        <v>210</v>
      </c>
      <c r="F174" s="3">
        <v>260000</v>
      </c>
      <c r="G174" s="3" t="s">
        <v>604</v>
      </c>
      <c r="H174" s="3" t="s">
        <v>605</v>
      </c>
      <c r="I174" s="6" t="s">
        <v>582</v>
      </c>
      <c r="J174" s="3" t="s">
        <v>650</v>
      </c>
      <c r="K174" s="7">
        <f>ROUND(20000,2)</f>
        <v>20000</v>
      </c>
      <c r="L174" s="5">
        <v>100304</v>
      </c>
      <c r="M174" s="5">
        <v>12866</v>
      </c>
    </row>
    <row r="175" spans="1:13" ht="15.75" x14ac:dyDescent="0.25">
      <c r="A175" s="5" t="s">
        <v>204</v>
      </c>
      <c r="B175" s="5" t="s">
        <v>250</v>
      </c>
      <c r="C175" s="5">
        <v>1</v>
      </c>
      <c r="D175" s="5">
        <v>6748</v>
      </c>
      <c r="E175" s="5" t="s">
        <v>83</v>
      </c>
      <c r="F175" s="3">
        <f>VLOOKUP(L163,'[1]GL Lookups'!$A:$E,5,FALSE)</f>
        <v>150000</v>
      </c>
      <c r="G175" s="3" t="s">
        <v>601</v>
      </c>
      <c r="H175" s="3" t="s">
        <v>598</v>
      </c>
      <c r="I175" s="4" t="s">
        <v>582</v>
      </c>
      <c r="J175" s="3" t="s">
        <v>671</v>
      </c>
      <c r="K175" s="7">
        <f>ROUND(67639.91,2)</f>
        <v>67639.91</v>
      </c>
      <c r="L175" s="5">
        <v>401600</v>
      </c>
      <c r="M175" s="5" t="s">
        <v>251</v>
      </c>
    </row>
    <row r="176" spans="1:13" ht="15.75" x14ac:dyDescent="0.25">
      <c r="A176" s="5" t="s">
        <v>204</v>
      </c>
      <c r="B176" s="5" t="s">
        <v>255</v>
      </c>
      <c r="C176" s="5">
        <v>1</v>
      </c>
      <c r="D176" s="5">
        <v>6748</v>
      </c>
      <c r="E176" s="5" t="s">
        <v>83</v>
      </c>
      <c r="F176" s="3">
        <f>VLOOKUP(L164,'[1]GL Lookups'!$A:$E,5,FALSE)</f>
        <v>150000</v>
      </c>
      <c r="G176" s="3" t="s">
        <v>601</v>
      </c>
      <c r="H176" s="3" t="s">
        <v>598</v>
      </c>
      <c r="I176" s="1" t="s">
        <v>588</v>
      </c>
      <c r="J176" s="3" t="e">
        <v>#N/A</v>
      </c>
      <c r="K176" s="7">
        <f>ROUND(186192.27,2)</f>
        <v>186192.27</v>
      </c>
      <c r="L176" s="5">
        <v>401600</v>
      </c>
      <c r="M176" s="5" t="s">
        <v>256</v>
      </c>
    </row>
    <row r="177" spans="1:13" ht="31.5" x14ac:dyDescent="0.25">
      <c r="A177" s="5" t="s">
        <v>24</v>
      </c>
      <c r="B177" s="5" t="s">
        <v>253</v>
      </c>
      <c r="C177" s="5">
        <v>1</v>
      </c>
      <c r="D177" s="5">
        <v>1900</v>
      </c>
      <c r="E177" s="5" t="s">
        <v>254</v>
      </c>
      <c r="F177" s="3">
        <v>350000</v>
      </c>
      <c r="G177" s="3" t="s">
        <v>619</v>
      </c>
      <c r="H177" s="3" t="s">
        <v>620</v>
      </c>
      <c r="I177" s="6" t="s">
        <v>582</v>
      </c>
      <c r="J177" s="3" t="s">
        <v>674</v>
      </c>
      <c r="K177" s="7">
        <f>ROUND(4800,2)</f>
        <v>4800</v>
      </c>
      <c r="L177" s="5">
        <v>201202</v>
      </c>
      <c r="M177" s="5">
        <v>10879</v>
      </c>
    </row>
    <row r="178" spans="1:13" ht="31.5" x14ac:dyDescent="0.25">
      <c r="A178" s="5" t="s">
        <v>24</v>
      </c>
      <c r="B178" s="5" t="s">
        <v>253</v>
      </c>
      <c r="C178" s="5">
        <v>2</v>
      </c>
      <c r="D178" s="5">
        <v>1900</v>
      </c>
      <c r="E178" s="5" t="s">
        <v>254</v>
      </c>
      <c r="F178" s="3">
        <v>350000</v>
      </c>
      <c r="G178" s="3" t="s">
        <v>619</v>
      </c>
      <c r="H178" s="3" t="s">
        <v>620</v>
      </c>
      <c r="I178" s="6" t="s">
        <v>582</v>
      </c>
      <c r="J178" s="3" t="s">
        <v>674</v>
      </c>
      <c r="K178" s="7">
        <f>ROUND(7560,2)</f>
        <v>7560</v>
      </c>
      <c r="L178" s="5">
        <v>201202</v>
      </c>
      <c r="M178" s="5">
        <v>10879</v>
      </c>
    </row>
    <row r="179" spans="1:13" ht="31.5" x14ac:dyDescent="0.25">
      <c r="A179" s="5" t="s">
        <v>24</v>
      </c>
      <c r="B179" s="5" t="s">
        <v>248</v>
      </c>
      <c r="C179" s="5">
        <v>1</v>
      </c>
      <c r="D179" s="5">
        <v>12687</v>
      </c>
      <c r="E179" s="5" t="s">
        <v>249</v>
      </c>
      <c r="F179" s="3">
        <v>210000</v>
      </c>
      <c r="G179" s="3" t="s">
        <v>600</v>
      </c>
      <c r="H179" s="3" t="s">
        <v>576</v>
      </c>
      <c r="I179" s="6" t="s">
        <v>582</v>
      </c>
      <c r="J179" s="3" t="s">
        <v>675</v>
      </c>
      <c r="K179" s="7">
        <f>ROUND(10000,2)</f>
        <v>10000</v>
      </c>
      <c r="L179" s="5">
        <v>400115</v>
      </c>
      <c r="M179" s="5">
        <v>10511</v>
      </c>
    </row>
    <row r="180" spans="1:13" ht="31.5" x14ac:dyDescent="0.25">
      <c r="A180" s="5" t="s">
        <v>24</v>
      </c>
      <c r="B180" s="5" t="s">
        <v>141</v>
      </c>
      <c r="C180" s="5">
        <v>1</v>
      </c>
      <c r="D180" s="5">
        <v>12384</v>
      </c>
      <c r="E180" s="5" t="s">
        <v>142</v>
      </c>
      <c r="F180" s="3">
        <v>110000</v>
      </c>
      <c r="G180" s="3" t="s">
        <v>621</v>
      </c>
      <c r="H180" s="3" t="s">
        <v>622</v>
      </c>
      <c r="I180" s="6" t="s">
        <v>577</v>
      </c>
      <c r="J180" s="3" t="s">
        <v>676</v>
      </c>
      <c r="K180" s="7">
        <f>ROUND(7500,2)</f>
        <v>7500</v>
      </c>
      <c r="L180" s="5">
        <v>402202</v>
      </c>
      <c r="M180" s="5">
        <v>12900</v>
      </c>
    </row>
    <row r="181" spans="1:13" ht="47.25" x14ac:dyDescent="0.25">
      <c r="A181" s="5" t="s">
        <v>24</v>
      </c>
      <c r="B181" s="5" t="s">
        <v>260</v>
      </c>
      <c r="C181" s="5">
        <v>1</v>
      </c>
      <c r="D181" s="5">
        <v>16838</v>
      </c>
      <c r="E181" s="5" t="s">
        <v>258</v>
      </c>
      <c r="F181" s="3">
        <f>VLOOKUP(L169,'[1]GL Lookups'!$A:$E,5,FALSE)</f>
        <v>270000</v>
      </c>
      <c r="G181" s="3" t="s">
        <v>578</v>
      </c>
      <c r="H181" s="3" t="s">
        <v>579</v>
      </c>
      <c r="I181" s="4" t="s">
        <v>577</v>
      </c>
      <c r="J181" s="3" t="s">
        <v>631</v>
      </c>
      <c r="K181" s="7">
        <f>ROUND(94361,2)</f>
        <v>94361</v>
      </c>
      <c r="L181" s="5">
        <v>200311</v>
      </c>
      <c r="M181" s="5" t="s">
        <v>261</v>
      </c>
    </row>
    <row r="182" spans="1:13" ht="47.25" x14ac:dyDescent="0.25">
      <c r="A182" s="5" t="s">
        <v>24</v>
      </c>
      <c r="B182" s="5" t="s">
        <v>257</v>
      </c>
      <c r="C182" s="5">
        <v>1</v>
      </c>
      <c r="D182" s="5">
        <v>16838</v>
      </c>
      <c r="E182" s="5" t="s">
        <v>258</v>
      </c>
      <c r="F182" s="3">
        <f>VLOOKUP(L170,'[1]GL Lookups'!$A:$E,5,FALSE)</f>
        <v>270000</v>
      </c>
      <c r="G182" s="3" t="s">
        <v>578</v>
      </c>
      <c r="H182" s="3" t="s">
        <v>579</v>
      </c>
      <c r="I182" s="4" t="s">
        <v>577</v>
      </c>
      <c r="J182" s="3" t="s">
        <v>631</v>
      </c>
      <c r="K182" s="7">
        <f>ROUND(126136,2)</f>
        <v>126136</v>
      </c>
      <c r="L182" s="5">
        <v>200311</v>
      </c>
      <c r="M182" s="5" t="s">
        <v>259</v>
      </c>
    </row>
    <row r="183" spans="1:13" ht="47.25" x14ac:dyDescent="0.25">
      <c r="A183" s="5" t="s">
        <v>24</v>
      </c>
      <c r="B183" s="5" t="s">
        <v>263</v>
      </c>
      <c r="C183" s="5">
        <v>1</v>
      </c>
      <c r="D183" s="5">
        <v>6748</v>
      </c>
      <c r="E183" s="5" t="s">
        <v>83</v>
      </c>
      <c r="F183" s="3">
        <f>VLOOKUP(L171,'[1]GL Lookups'!$A:$E,5,FALSE)</f>
        <v>270000</v>
      </c>
      <c r="G183" s="3" t="s">
        <v>578</v>
      </c>
      <c r="H183" s="3" t="s">
        <v>579</v>
      </c>
      <c r="I183" s="4" t="s">
        <v>577</v>
      </c>
      <c r="J183" s="3" t="s">
        <v>631</v>
      </c>
      <c r="K183" s="7">
        <f>ROUND(36271.27,2)</f>
        <v>36271.269999999997</v>
      </c>
      <c r="L183" s="5">
        <v>401600</v>
      </c>
      <c r="M183" s="5" t="s">
        <v>264</v>
      </c>
    </row>
    <row r="184" spans="1:13" ht="31.5" x14ac:dyDescent="0.25">
      <c r="A184" s="5" t="s">
        <v>24</v>
      </c>
      <c r="B184" s="5" t="s">
        <v>246</v>
      </c>
      <c r="C184" s="5">
        <v>1</v>
      </c>
      <c r="D184" s="5">
        <v>1342</v>
      </c>
      <c r="E184" s="5" t="s">
        <v>247</v>
      </c>
      <c r="F184" s="3">
        <v>182020</v>
      </c>
      <c r="G184" s="3" t="s">
        <v>602</v>
      </c>
      <c r="H184" s="3" t="s">
        <v>603</v>
      </c>
      <c r="I184" s="6" t="s">
        <v>582</v>
      </c>
      <c r="J184" s="3" t="s">
        <v>677</v>
      </c>
      <c r="K184" s="7">
        <f>ROUND(1242.6,2)</f>
        <v>1242.5999999999999</v>
      </c>
      <c r="L184" s="5">
        <v>400401</v>
      </c>
      <c r="M184" s="5">
        <v>10883</v>
      </c>
    </row>
    <row r="185" spans="1:13" ht="31.5" x14ac:dyDescent="0.25">
      <c r="A185" s="5" t="s">
        <v>24</v>
      </c>
      <c r="B185" s="5" t="s">
        <v>246</v>
      </c>
      <c r="C185" s="5">
        <v>2</v>
      </c>
      <c r="D185" s="5">
        <v>1342</v>
      </c>
      <c r="E185" s="5" t="s">
        <v>247</v>
      </c>
      <c r="F185" s="3">
        <v>182020</v>
      </c>
      <c r="G185" s="3" t="s">
        <v>602</v>
      </c>
      <c r="H185" s="3" t="s">
        <v>603</v>
      </c>
      <c r="I185" s="6" t="s">
        <v>582</v>
      </c>
      <c r="J185" s="3" t="s">
        <v>677</v>
      </c>
      <c r="K185" s="7">
        <f>ROUND(2899.4,2)</f>
        <v>2899.4</v>
      </c>
      <c r="L185" s="5">
        <v>400401</v>
      </c>
      <c r="M185" s="5">
        <v>10883</v>
      </c>
    </row>
    <row r="186" spans="1:13" ht="31.5" x14ac:dyDescent="0.25">
      <c r="A186" s="5" t="s">
        <v>24</v>
      </c>
      <c r="B186" s="5" t="s">
        <v>246</v>
      </c>
      <c r="C186" s="5">
        <v>3</v>
      </c>
      <c r="D186" s="5">
        <v>1342</v>
      </c>
      <c r="E186" s="5" t="s">
        <v>247</v>
      </c>
      <c r="F186" s="3">
        <v>182020</v>
      </c>
      <c r="G186" s="3" t="s">
        <v>602</v>
      </c>
      <c r="H186" s="3" t="s">
        <v>603</v>
      </c>
      <c r="I186" s="6" t="s">
        <v>582</v>
      </c>
      <c r="J186" s="3" t="s">
        <v>677</v>
      </c>
      <c r="K186" s="7">
        <f>ROUND(1437,2)</f>
        <v>1437</v>
      </c>
      <c r="L186" s="5">
        <v>400401</v>
      </c>
      <c r="M186" s="5">
        <v>10883</v>
      </c>
    </row>
    <row r="187" spans="1:13" ht="15.75" x14ac:dyDescent="0.25">
      <c r="A187" s="5" t="s">
        <v>24</v>
      </c>
      <c r="B187" s="5" t="s">
        <v>234</v>
      </c>
      <c r="C187" s="5">
        <v>1</v>
      </c>
      <c r="D187" s="5">
        <v>16830</v>
      </c>
      <c r="E187" s="5" t="s">
        <v>235</v>
      </c>
      <c r="F187" s="3">
        <v>150000</v>
      </c>
      <c r="G187" s="3" t="s">
        <v>601</v>
      </c>
      <c r="H187" s="3" t="s">
        <v>598</v>
      </c>
      <c r="I187" s="6" t="s">
        <v>588</v>
      </c>
      <c r="J187" s="3" t="s">
        <v>678</v>
      </c>
      <c r="K187" s="7">
        <f>ROUND(18250,2)</f>
        <v>18250</v>
      </c>
      <c r="L187" s="5">
        <v>401007</v>
      </c>
      <c r="M187" s="5">
        <v>13274</v>
      </c>
    </row>
    <row r="188" spans="1:13" ht="31.5" x14ac:dyDescent="0.25">
      <c r="A188" s="5" t="s">
        <v>61</v>
      </c>
      <c r="B188" s="5" t="s">
        <v>271</v>
      </c>
      <c r="C188" s="5">
        <v>1</v>
      </c>
      <c r="D188" s="5">
        <v>14919</v>
      </c>
      <c r="E188" s="5" t="s">
        <v>272</v>
      </c>
      <c r="F188" s="3">
        <v>999999</v>
      </c>
      <c r="G188" s="3" t="s">
        <v>614</v>
      </c>
      <c r="H188" s="3" t="s">
        <v>614</v>
      </c>
      <c r="I188" s="6" t="s">
        <v>588</v>
      </c>
      <c r="J188" s="3" t="s">
        <v>679</v>
      </c>
      <c r="K188" s="7">
        <f>ROUND(8000,2)</f>
        <v>8000</v>
      </c>
      <c r="L188" s="5">
        <v>500303</v>
      </c>
      <c r="M188" s="5">
        <v>13031</v>
      </c>
    </row>
    <row r="189" spans="1:13" ht="31.5" x14ac:dyDescent="0.25">
      <c r="A189" s="5" t="s">
        <v>159</v>
      </c>
      <c r="B189" s="5" t="s">
        <v>283</v>
      </c>
      <c r="C189" s="5">
        <v>1</v>
      </c>
      <c r="D189" s="5">
        <v>7650</v>
      </c>
      <c r="E189" s="5" t="s">
        <v>281</v>
      </c>
      <c r="F189" s="3">
        <f>VLOOKUP(L177,'[1]GL Lookups'!$A:$E,5,FALSE)</f>
        <v>350000</v>
      </c>
      <c r="G189" s="3" t="s">
        <v>619</v>
      </c>
      <c r="H189" s="3" t="s">
        <v>620</v>
      </c>
      <c r="I189" s="4" t="s">
        <v>582</v>
      </c>
      <c r="J189" s="3" t="s">
        <v>674</v>
      </c>
      <c r="K189" s="7">
        <f>ROUND(19046,2)</f>
        <v>19046</v>
      </c>
      <c r="L189" s="5">
        <v>200311</v>
      </c>
      <c r="M189" s="5" t="s">
        <v>229</v>
      </c>
    </row>
    <row r="190" spans="1:13" ht="31.5" x14ac:dyDescent="0.25">
      <c r="A190" s="5" t="s">
        <v>159</v>
      </c>
      <c r="B190" s="5" t="s">
        <v>280</v>
      </c>
      <c r="C190" s="5">
        <v>1</v>
      </c>
      <c r="D190" s="5">
        <v>7650</v>
      </c>
      <c r="E190" s="5" t="s">
        <v>281</v>
      </c>
      <c r="F190" s="3">
        <f>VLOOKUP(L178,'[1]GL Lookups'!$A:$E,5,FALSE)</f>
        <v>350000</v>
      </c>
      <c r="G190" s="3" t="s">
        <v>619</v>
      </c>
      <c r="H190" s="3" t="s">
        <v>620</v>
      </c>
      <c r="I190" s="4" t="s">
        <v>582</v>
      </c>
      <c r="J190" s="3" t="s">
        <v>674</v>
      </c>
      <c r="K190" s="7">
        <f>ROUND(160717,2)</f>
        <v>160717</v>
      </c>
      <c r="L190" s="5">
        <v>200311</v>
      </c>
      <c r="M190" s="5" t="s">
        <v>282</v>
      </c>
    </row>
    <row r="191" spans="1:13" ht="15.75" x14ac:dyDescent="0.25">
      <c r="A191" s="5" t="s">
        <v>159</v>
      </c>
      <c r="B191" s="5" t="s">
        <v>276</v>
      </c>
      <c r="C191" s="5">
        <v>1</v>
      </c>
      <c r="D191" s="5">
        <v>15894</v>
      </c>
      <c r="E191" s="5" t="s">
        <v>277</v>
      </c>
      <c r="F191" s="3">
        <v>150000</v>
      </c>
      <c r="G191" s="3" t="s">
        <v>601</v>
      </c>
      <c r="H191" s="3" t="s">
        <v>598</v>
      </c>
      <c r="I191" s="6" t="s">
        <v>588</v>
      </c>
      <c r="J191" s="3" t="s">
        <v>643</v>
      </c>
      <c r="K191" s="7">
        <f>ROUND(475,2)</f>
        <v>475</v>
      </c>
      <c r="L191" s="5">
        <v>401007</v>
      </c>
      <c r="M191" s="5">
        <v>10727</v>
      </c>
    </row>
    <row r="192" spans="1:13" ht="15.75" x14ac:dyDescent="0.25">
      <c r="A192" s="5" t="s">
        <v>159</v>
      </c>
      <c r="B192" s="5" t="s">
        <v>276</v>
      </c>
      <c r="C192" s="5">
        <v>2</v>
      </c>
      <c r="D192" s="5">
        <v>15894</v>
      </c>
      <c r="E192" s="5" t="s">
        <v>277</v>
      </c>
      <c r="F192" s="3">
        <v>150000</v>
      </c>
      <c r="G192" s="3" t="s">
        <v>601</v>
      </c>
      <c r="H192" s="3" t="s">
        <v>598</v>
      </c>
      <c r="I192" s="6" t="s">
        <v>588</v>
      </c>
      <c r="J192" s="3" t="s">
        <v>643</v>
      </c>
      <c r="K192" s="7">
        <f>ROUND(700,2)</f>
        <v>700</v>
      </c>
      <c r="L192" s="5">
        <v>401007</v>
      </c>
      <c r="M192" s="5">
        <v>10727</v>
      </c>
    </row>
    <row r="193" spans="1:13" ht="15.75" x14ac:dyDescent="0.25">
      <c r="A193" s="5" t="s">
        <v>159</v>
      </c>
      <c r="B193" s="5" t="s">
        <v>276</v>
      </c>
      <c r="C193" s="5">
        <v>3</v>
      </c>
      <c r="D193" s="5">
        <v>15894</v>
      </c>
      <c r="E193" s="5" t="s">
        <v>277</v>
      </c>
      <c r="F193" s="3">
        <v>150000</v>
      </c>
      <c r="G193" s="3" t="s">
        <v>601</v>
      </c>
      <c r="H193" s="3" t="s">
        <v>598</v>
      </c>
      <c r="I193" s="6" t="s">
        <v>588</v>
      </c>
      <c r="J193" s="3" t="s">
        <v>643</v>
      </c>
      <c r="K193" s="7">
        <f>ROUND(700,2)</f>
        <v>700</v>
      </c>
      <c r="L193" s="5">
        <v>401007</v>
      </c>
      <c r="M193" s="5">
        <v>10727</v>
      </c>
    </row>
    <row r="194" spans="1:13" ht="15.75" x14ac:dyDescent="0.25">
      <c r="A194" s="5" t="s">
        <v>159</v>
      </c>
      <c r="B194" s="5" t="s">
        <v>276</v>
      </c>
      <c r="C194" s="5">
        <v>4</v>
      </c>
      <c r="D194" s="5">
        <v>15894</v>
      </c>
      <c r="E194" s="5" t="s">
        <v>277</v>
      </c>
      <c r="F194" s="3">
        <v>150000</v>
      </c>
      <c r="G194" s="3" t="s">
        <v>601</v>
      </c>
      <c r="H194" s="3" t="s">
        <v>598</v>
      </c>
      <c r="I194" s="6" t="s">
        <v>588</v>
      </c>
      <c r="J194" s="3" t="s">
        <v>643</v>
      </c>
      <c r="K194" s="7">
        <f>ROUND(700,2)</f>
        <v>700</v>
      </c>
      <c r="L194" s="5">
        <v>401007</v>
      </c>
      <c r="M194" s="5">
        <v>10727</v>
      </c>
    </row>
    <row r="195" spans="1:13" ht="15.75" x14ac:dyDescent="0.25">
      <c r="A195" s="5" t="s">
        <v>159</v>
      </c>
      <c r="B195" s="5" t="s">
        <v>276</v>
      </c>
      <c r="C195" s="5">
        <v>5</v>
      </c>
      <c r="D195" s="5">
        <v>15894</v>
      </c>
      <c r="E195" s="5" t="s">
        <v>277</v>
      </c>
      <c r="F195" s="3">
        <v>150000</v>
      </c>
      <c r="G195" s="3" t="s">
        <v>601</v>
      </c>
      <c r="H195" s="3" t="s">
        <v>598</v>
      </c>
      <c r="I195" s="6" t="s">
        <v>588</v>
      </c>
      <c r="J195" s="3" t="s">
        <v>643</v>
      </c>
      <c r="K195" s="7">
        <f>ROUND(475,2)</f>
        <v>475</v>
      </c>
      <c r="L195" s="5">
        <v>401007</v>
      </c>
      <c r="M195" s="5">
        <v>10727</v>
      </c>
    </row>
    <row r="196" spans="1:13" ht="15.75" x14ac:dyDescent="0.25">
      <c r="A196" s="5" t="s">
        <v>159</v>
      </c>
      <c r="B196" s="5" t="s">
        <v>276</v>
      </c>
      <c r="C196" s="5">
        <v>6</v>
      </c>
      <c r="D196" s="5">
        <v>15894</v>
      </c>
      <c r="E196" s="5" t="s">
        <v>277</v>
      </c>
      <c r="F196" s="3">
        <v>150000</v>
      </c>
      <c r="G196" s="3" t="s">
        <v>601</v>
      </c>
      <c r="H196" s="3" t="s">
        <v>598</v>
      </c>
      <c r="I196" s="6" t="s">
        <v>588</v>
      </c>
      <c r="J196" s="3" t="s">
        <v>643</v>
      </c>
      <c r="K196" s="7">
        <f>ROUND(475,2)</f>
        <v>475</v>
      </c>
      <c r="L196" s="5">
        <v>401007</v>
      </c>
      <c r="M196" s="5">
        <v>10727</v>
      </c>
    </row>
    <row r="197" spans="1:13" ht="15.75" x14ac:dyDescent="0.25">
      <c r="A197" s="5" t="s">
        <v>159</v>
      </c>
      <c r="B197" s="5" t="s">
        <v>276</v>
      </c>
      <c r="C197" s="5">
        <v>7</v>
      </c>
      <c r="D197" s="5">
        <v>15894</v>
      </c>
      <c r="E197" s="5" t="s">
        <v>277</v>
      </c>
      <c r="F197" s="3">
        <v>150000</v>
      </c>
      <c r="G197" s="3" t="s">
        <v>601</v>
      </c>
      <c r="H197" s="3" t="s">
        <v>598</v>
      </c>
      <c r="I197" s="6" t="s">
        <v>588</v>
      </c>
      <c r="J197" s="3" t="s">
        <v>643</v>
      </c>
      <c r="K197" s="7">
        <f>ROUND(700,2)</f>
        <v>700</v>
      </c>
      <c r="L197" s="5">
        <v>401007</v>
      </c>
      <c r="M197" s="5">
        <v>10727</v>
      </c>
    </row>
    <row r="198" spans="1:13" ht="15.75" x14ac:dyDescent="0.25">
      <c r="A198" s="5" t="s">
        <v>159</v>
      </c>
      <c r="B198" s="5" t="s">
        <v>276</v>
      </c>
      <c r="C198" s="5">
        <v>8</v>
      </c>
      <c r="D198" s="5">
        <v>15894</v>
      </c>
      <c r="E198" s="5" t="s">
        <v>277</v>
      </c>
      <c r="F198" s="3">
        <v>150000</v>
      </c>
      <c r="G198" s="3" t="s">
        <v>601</v>
      </c>
      <c r="H198" s="3" t="s">
        <v>598</v>
      </c>
      <c r="I198" s="6" t="s">
        <v>588</v>
      </c>
      <c r="J198" s="3" t="s">
        <v>643</v>
      </c>
      <c r="K198" s="7">
        <f>ROUND(700,2)</f>
        <v>700</v>
      </c>
      <c r="L198" s="5">
        <v>401007</v>
      </c>
      <c r="M198" s="5">
        <v>10727</v>
      </c>
    </row>
    <row r="199" spans="1:13" ht="15.75" x14ac:dyDescent="0.25">
      <c r="A199" s="5" t="s">
        <v>159</v>
      </c>
      <c r="B199" s="5" t="s">
        <v>276</v>
      </c>
      <c r="C199" s="5">
        <v>9</v>
      </c>
      <c r="D199" s="5">
        <v>15894</v>
      </c>
      <c r="E199" s="5" t="s">
        <v>277</v>
      </c>
      <c r="F199" s="3">
        <v>150000</v>
      </c>
      <c r="G199" s="3" t="s">
        <v>601</v>
      </c>
      <c r="H199" s="3" t="s">
        <v>598</v>
      </c>
      <c r="I199" s="6" t="s">
        <v>588</v>
      </c>
      <c r="J199" s="3" t="s">
        <v>643</v>
      </c>
      <c r="K199" s="7">
        <f>ROUND(350,2)</f>
        <v>350</v>
      </c>
      <c r="L199" s="5">
        <v>401007</v>
      </c>
      <c r="M199" s="5">
        <v>10727</v>
      </c>
    </row>
    <row r="200" spans="1:13" ht="31.5" x14ac:dyDescent="0.25">
      <c r="A200" s="5" t="s">
        <v>159</v>
      </c>
      <c r="B200" s="5" t="s">
        <v>285</v>
      </c>
      <c r="C200" s="5">
        <v>1</v>
      </c>
      <c r="D200" s="5">
        <v>12193</v>
      </c>
      <c r="E200" s="5" t="s">
        <v>286</v>
      </c>
      <c r="F200" s="3">
        <v>202100</v>
      </c>
      <c r="G200" s="3" t="s">
        <v>623</v>
      </c>
      <c r="H200" s="3" t="s">
        <v>614</v>
      </c>
      <c r="I200" s="6" t="s">
        <v>577</v>
      </c>
      <c r="J200" s="3" t="s">
        <v>680</v>
      </c>
      <c r="K200" s="7">
        <f>ROUND(799000,2)</f>
        <v>799000</v>
      </c>
      <c r="L200" s="5">
        <v>500305</v>
      </c>
      <c r="M200" s="5">
        <v>10979</v>
      </c>
    </row>
    <row r="201" spans="1:13" ht="31.5" x14ac:dyDescent="0.25">
      <c r="A201" s="5" t="s">
        <v>240</v>
      </c>
      <c r="B201" s="5" t="s">
        <v>239</v>
      </c>
      <c r="C201" s="5">
        <v>1</v>
      </c>
      <c r="D201" s="5">
        <v>13238</v>
      </c>
      <c r="E201" s="5" t="s">
        <v>25</v>
      </c>
      <c r="F201" s="3">
        <v>190000</v>
      </c>
      <c r="G201" s="3" t="s">
        <v>617</v>
      </c>
      <c r="H201" s="3" t="s">
        <v>618</v>
      </c>
      <c r="I201" s="6" t="s">
        <v>588</v>
      </c>
      <c r="J201" s="3" t="s">
        <v>681</v>
      </c>
      <c r="K201" s="7">
        <f>ROUND(7280,2)</f>
        <v>7280</v>
      </c>
      <c r="L201" s="5">
        <v>400705</v>
      </c>
      <c r="M201" s="5">
        <v>10119</v>
      </c>
    </row>
    <row r="202" spans="1:13" ht="31.5" x14ac:dyDescent="0.25">
      <c r="A202" s="5" t="s">
        <v>240</v>
      </c>
      <c r="B202" s="5" t="s">
        <v>291</v>
      </c>
      <c r="C202" s="5">
        <v>1</v>
      </c>
      <c r="D202" s="5">
        <v>15459</v>
      </c>
      <c r="E202" s="5" t="s">
        <v>174</v>
      </c>
      <c r="F202" s="3">
        <f>VLOOKUP(L190,'[1]GL Lookups'!$A:$E,5,FALSE)</f>
        <v>390000</v>
      </c>
      <c r="G202" s="3" t="s">
        <v>585</v>
      </c>
      <c r="H202" s="3" t="s">
        <v>587</v>
      </c>
      <c r="I202" s="1" t="s">
        <v>582</v>
      </c>
      <c r="J202" s="3" t="e">
        <v>#N/A</v>
      </c>
      <c r="K202" s="7">
        <f>ROUND(995,2)</f>
        <v>995</v>
      </c>
      <c r="L202" s="5">
        <v>401600</v>
      </c>
      <c r="M202" s="5" t="s">
        <v>292</v>
      </c>
    </row>
    <row r="203" spans="1:13" ht="15.75" x14ac:dyDescent="0.25">
      <c r="A203" s="5" t="s">
        <v>240</v>
      </c>
      <c r="B203" s="5" t="s">
        <v>291</v>
      </c>
      <c r="C203" s="5">
        <v>2</v>
      </c>
      <c r="D203" s="5">
        <v>15459</v>
      </c>
      <c r="E203" s="5" t="s">
        <v>174</v>
      </c>
      <c r="F203" s="3">
        <f>VLOOKUP(L191,'[1]GL Lookups'!$A:$E,5,FALSE)</f>
        <v>150000</v>
      </c>
      <c r="G203" s="3" t="s">
        <v>601</v>
      </c>
      <c r="H203" s="3" t="s">
        <v>598</v>
      </c>
      <c r="I203" s="4" t="s">
        <v>588</v>
      </c>
      <c r="J203" s="3" t="s">
        <v>643</v>
      </c>
      <c r="K203" s="7">
        <f>ROUND(995,2)</f>
        <v>995</v>
      </c>
      <c r="L203" s="5">
        <v>401600</v>
      </c>
      <c r="M203" s="5" t="s">
        <v>292</v>
      </c>
    </row>
    <row r="204" spans="1:13" ht="15.75" x14ac:dyDescent="0.25">
      <c r="A204" s="5" t="s">
        <v>240</v>
      </c>
      <c r="B204" s="5" t="s">
        <v>291</v>
      </c>
      <c r="C204" s="5">
        <v>3</v>
      </c>
      <c r="D204" s="5">
        <v>15459</v>
      </c>
      <c r="E204" s="5" t="s">
        <v>174</v>
      </c>
      <c r="F204" s="3">
        <f>VLOOKUP(L192,'[1]GL Lookups'!$A:$E,5,FALSE)</f>
        <v>150000</v>
      </c>
      <c r="G204" s="3" t="s">
        <v>601</v>
      </c>
      <c r="H204" s="3" t="s">
        <v>598</v>
      </c>
      <c r="I204" s="4" t="s">
        <v>588</v>
      </c>
      <c r="J204" s="3" t="s">
        <v>643</v>
      </c>
      <c r="K204" s="7">
        <f>ROUND(995,2)</f>
        <v>995</v>
      </c>
      <c r="L204" s="5">
        <v>401600</v>
      </c>
      <c r="M204" s="5" t="s">
        <v>292</v>
      </c>
    </row>
    <row r="205" spans="1:13" ht="15.75" x14ac:dyDescent="0.25">
      <c r="A205" s="5" t="s">
        <v>240</v>
      </c>
      <c r="B205" s="5" t="s">
        <v>291</v>
      </c>
      <c r="C205" s="5">
        <v>4</v>
      </c>
      <c r="D205" s="5">
        <v>15459</v>
      </c>
      <c r="E205" s="5" t="s">
        <v>174</v>
      </c>
      <c r="F205" s="3">
        <f>VLOOKUP(L193,'[1]GL Lookups'!$A:$E,5,FALSE)</f>
        <v>150000</v>
      </c>
      <c r="G205" s="3" t="s">
        <v>601</v>
      </c>
      <c r="H205" s="3" t="s">
        <v>598</v>
      </c>
      <c r="I205" s="4" t="s">
        <v>588</v>
      </c>
      <c r="J205" s="3" t="s">
        <v>643</v>
      </c>
      <c r="K205" s="7">
        <f>ROUND(495,2)</f>
        <v>495</v>
      </c>
      <c r="L205" s="5">
        <v>401600</v>
      </c>
      <c r="M205" s="5" t="s">
        <v>292</v>
      </c>
    </row>
    <row r="206" spans="1:13" ht="15.75" x14ac:dyDescent="0.25">
      <c r="A206" s="5" t="s">
        <v>240</v>
      </c>
      <c r="B206" s="5" t="s">
        <v>291</v>
      </c>
      <c r="C206" s="5">
        <v>5</v>
      </c>
      <c r="D206" s="5">
        <v>15459</v>
      </c>
      <c r="E206" s="5" t="s">
        <v>174</v>
      </c>
      <c r="F206" s="3">
        <f>VLOOKUP(L194,'[1]GL Lookups'!$A:$E,5,FALSE)</f>
        <v>150000</v>
      </c>
      <c r="G206" s="3" t="s">
        <v>601</v>
      </c>
      <c r="H206" s="3" t="s">
        <v>598</v>
      </c>
      <c r="I206" s="4" t="s">
        <v>588</v>
      </c>
      <c r="J206" s="3" t="s">
        <v>643</v>
      </c>
      <c r="K206" s="7">
        <f>ROUND(495,2)</f>
        <v>495</v>
      </c>
      <c r="L206" s="5">
        <v>401600</v>
      </c>
      <c r="M206" s="5" t="s">
        <v>292</v>
      </c>
    </row>
    <row r="207" spans="1:13" ht="15.75" x14ac:dyDescent="0.25">
      <c r="A207" s="5" t="s">
        <v>240</v>
      </c>
      <c r="B207" s="5" t="s">
        <v>291</v>
      </c>
      <c r="C207" s="5">
        <v>6</v>
      </c>
      <c r="D207" s="5">
        <v>15459</v>
      </c>
      <c r="E207" s="5" t="s">
        <v>174</v>
      </c>
      <c r="F207" s="3">
        <f>VLOOKUP(L195,'[1]GL Lookups'!$A:$E,5,FALSE)</f>
        <v>150000</v>
      </c>
      <c r="G207" s="3" t="s">
        <v>601</v>
      </c>
      <c r="H207" s="3" t="s">
        <v>598</v>
      </c>
      <c r="I207" s="4" t="s">
        <v>588</v>
      </c>
      <c r="J207" s="3" t="s">
        <v>643</v>
      </c>
      <c r="K207" s="7">
        <f>ROUND(495,2)</f>
        <v>495</v>
      </c>
      <c r="L207" s="5">
        <v>401600</v>
      </c>
      <c r="M207" s="5" t="s">
        <v>292</v>
      </c>
    </row>
    <row r="208" spans="1:13" ht="15.75" x14ac:dyDescent="0.25">
      <c r="A208" s="5" t="s">
        <v>240</v>
      </c>
      <c r="B208" s="5" t="s">
        <v>291</v>
      </c>
      <c r="C208" s="5">
        <v>7</v>
      </c>
      <c r="D208" s="5">
        <v>15459</v>
      </c>
      <c r="E208" s="5" t="s">
        <v>174</v>
      </c>
      <c r="F208" s="3">
        <f>VLOOKUP(L196,'[1]GL Lookups'!$A:$E,5,FALSE)</f>
        <v>150000</v>
      </c>
      <c r="G208" s="3" t="s">
        <v>601</v>
      </c>
      <c r="H208" s="3" t="s">
        <v>598</v>
      </c>
      <c r="I208" s="4" t="s">
        <v>588</v>
      </c>
      <c r="J208" s="3" t="s">
        <v>643</v>
      </c>
      <c r="K208" s="7">
        <f>ROUND(495,2)</f>
        <v>495</v>
      </c>
      <c r="L208" s="5">
        <v>401600</v>
      </c>
      <c r="M208" s="5" t="s">
        <v>292</v>
      </c>
    </row>
    <row r="209" spans="1:13" ht="15.75" x14ac:dyDescent="0.25">
      <c r="A209" s="5" t="s">
        <v>240</v>
      </c>
      <c r="B209" s="5" t="s">
        <v>291</v>
      </c>
      <c r="C209" s="5">
        <v>8</v>
      </c>
      <c r="D209" s="5">
        <v>15459</v>
      </c>
      <c r="E209" s="5" t="s">
        <v>174</v>
      </c>
      <c r="F209" s="3">
        <f>VLOOKUP(L197,'[1]GL Lookups'!$A:$E,5,FALSE)</f>
        <v>150000</v>
      </c>
      <c r="G209" s="3" t="s">
        <v>601</v>
      </c>
      <c r="H209" s="3" t="s">
        <v>598</v>
      </c>
      <c r="I209" s="4" t="s">
        <v>588</v>
      </c>
      <c r="J209" s="3" t="s">
        <v>643</v>
      </c>
      <c r="K209" s="7">
        <f>ROUND(995,2)</f>
        <v>995</v>
      </c>
      <c r="L209" s="5">
        <v>401600</v>
      </c>
      <c r="M209" s="5" t="s">
        <v>292</v>
      </c>
    </row>
    <row r="210" spans="1:13" ht="15.75" x14ac:dyDescent="0.25">
      <c r="A210" s="5" t="s">
        <v>205</v>
      </c>
      <c r="B210" s="5" t="s">
        <v>296</v>
      </c>
      <c r="C210" s="5">
        <v>1</v>
      </c>
      <c r="D210" s="5">
        <v>14934</v>
      </c>
      <c r="E210" s="5" t="s">
        <v>297</v>
      </c>
      <c r="F210" s="3">
        <v>150000</v>
      </c>
      <c r="G210" s="3" t="s">
        <v>601</v>
      </c>
      <c r="H210" s="3" t="s">
        <v>598</v>
      </c>
      <c r="I210" s="6" t="s">
        <v>588</v>
      </c>
      <c r="J210" s="3" t="s">
        <v>682</v>
      </c>
      <c r="K210" s="7">
        <f>ROUND(7575,2)</f>
        <v>7575</v>
      </c>
      <c r="L210" s="5">
        <v>401020</v>
      </c>
      <c r="M210" s="5">
        <v>10300</v>
      </c>
    </row>
    <row r="211" spans="1:13" ht="47.25" x14ac:dyDescent="0.25">
      <c r="A211" s="5" t="s">
        <v>205</v>
      </c>
      <c r="B211" s="5" t="s">
        <v>273</v>
      </c>
      <c r="C211" s="5">
        <v>1</v>
      </c>
      <c r="D211" s="5">
        <v>14225</v>
      </c>
      <c r="E211" s="5" t="s">
        <v>274</v>
      </c>
      <c r="F211" s="3">
        <v>270000</v>
      </c>
      <c r="G211" s="3" t="s">
        <v>578</v>
      </c>
      <c r="H211" s="3" t="s">
        <v>579</v>
      </c>
      <c r="I211" s="6" t="s">
        <v>577</v>
      </c>
      <c r="J211" s="3" t="s">
        <v>647</v>
      </c>
      <c r="K211" s="7">
        <f>ROUND(21807,2)</f>
        <v>21807</v>
      </c>
      <c r="L211" s="5">
        <v>402001</v>
      </c>
      <c r="M211" s="5">
        <v>12590</v>
      </c>
    </row>
    <row r="212" spans="1:13" ht="31.5" x14ac:dyDescent="0.25">
      <c r="A212" s="5" t="s">
        <v>205</v>
      </c>
      <c r="B212" s="5" t="s">
        <v>305</v>
      </c>
      <c r="C212" s="5">
        <v>1</v>
      </c>
      <c r="D212" s="5">
        <v>1621</v>
      </c>
      <c r="E212" s="5" t="s">
        <v>306</v>
      </c>
      <c r="F212" s="3">
        <v>261500</v>
      </c>
      <c r="G212" s="3" t="s">
        <v>611</v>
      </c>
      <c r="H212" s="3" t="s">
        <v>622</v>
      </c>
      <c r="I212" s="6" t="s">
        <v>577</v>
      </c>
      <c r="J212" s="3" t="s">
        <v>683</v>
      </c>
      <c r="K212" s="7">
        <f>ROUND(3900,2)</f>
        <v>3900</v>
      </c>
      <c r="L212" s="5">
        <v>402201</v>
      </c>
      <c r="M212" s="5">
        <v>11112</v>
      </c>
    </row>
    <row r="213" spans="1:13" ht="31.5" x14ac:dyDescent="0.25">
      <c r="A213" s="5" t="s">
        <v>205</v>
      </c>
      <c r="B213" s="5" t="s">
        <v>305</v>
      </c>
      <c r="C213" s="5">
        <v>2</v>
      </c>
      <c r="D213" s="5">
        <v>1621</v>
      </c>
      <c r="E213" s="5" t="s">
        <v>306</v>
      </c>
      <c r="F213" s="3">
        <v>261500</v>
      </c>
      <c r="G213" s="3" t="s">
        <v>611</v>
      </c>
      <c r="H213" s="3" t="s">
        <v>622</v>
      </c>
      <c r="I213" s="6" t="s">
        <v>577</v>
      </c>
      <c r="J213" s="3" t="s">
        <v>683</v>
      </c>
      <c r="K213" s="7">
        <f>ROUND(3750,2)</f>
        <v>3750</v>
      </c>
      <c r="L213" s="5">
        <v>402201</v>
      </c>
      <c r="M213" s="5">
        <v>11112</v>
      </c>
    </row>
    <row r="214" spans="1:13" ht="15.75" x14ac:dyDescent="0.25">
      <c r="A214" s="5" t="s">
        <v>88</v>
      </c>
      <c r="B214" s="5" t="s">
        <v>303</v>
      </c>
      <c r="C214" s="5">
        <v>1</v>
      </c>
      <c r="D214" s="5">
        <v>6967</v>
      </c>
      <c r="E214" s="5" t="s">
        <v>115</v>
      </c>
      <c r="F214" s="3">
        <v>150000</v>
      </c>
      <c r="G214" s="3" t="s">
        <v>601</v>
      </c>
      <c r="H214" s="3" t="s">
        <v>598</v>
      </c>
      <c r="I214" s="6" t="s">
        <v>582</v>
      </c>
      <c r="J214" s="3" t="s">
        <v>684</v>
      </c>
      <c r="K214" s="7">
        <f>ROUND(41168.4,2)</f>
        <v>41168.400000000001</v>
      </c>
      <c r="L214" s="5">
        <v>401007</v>
      </c>
      <c r="M214" s="5">
        <v>11959</v>
      </c>
    </row>
    <row r="215" spans="1:13" ht="31.5" x14ac:dyDescent="0.25">
      <c r="A215" s="5" t="s">
        <v>88</v>
      </c>
      <c r="B215" s="5" t="s">
        <v>269</v>
      </c>
      <c r="C215" s="5">
        <v>1</v>
      </c>
      <c r="D215" s="5">
        <v>8646</v>
      </c>
      <c r="E215" s="5" t="s">
        <v>270</v>
      </c>
      <c r="F215" s="3">
        <v>350000</v>
      </c>
      <c r="G215" s="3" t="s">
        <v>619</v>
      </c>
      <c r="H215" s="3" t="s">
        <v>620</v>
      </c>
      <c r="I215" s="6" t="s">
        <v>582</v>
      </c>
      <c r="J215" s="3" t="s">
        <v>685</v>
      </c>
      <c r="K215" s="7">
        <f>ROUND(28547.5,2)</f>
        <v>28547.5</v>
      </c>
      <c r="L215" s="5">
        <v>201202</v>
      </c>
      <c r="M215" s="5">
        <v>11995</v>
      </c>
    </row>
    <row r="216" spans="1:13" ht="31.5" x14ac:dyDescent="0.25">
      <c r="A216" s="5" t="s">
        <v>88</v>
      </c>
      <c r="B216" s="5" t="s">
        <v>269</v>
      </c>
      <c r="C216" s="5">
        <v>2</v>
      </c>
      <c r="D216" s="5">
        <v>8646</v>
      </c>
      <c r="E216" s="5" t="s">
        <v>270</v>
      </c>
      <c r="F216" s="3">
        <v>350000</v>
      </c>
      <c r="G216" s="3" t="s">
        <v>619</v>
      </c>
      <c r="H216" s="3" t="s">
        <v>620</v>
      </c>
      <c r="I216" s="6" t="s">
        <v>582</v>
      </c>
      <c r="J216" s="3" t="s">
        <v>685</v>
      </c>
      <c r="K216" s="7">
        <f>ROUND(4084.5,2)</f>
        <v>4084.5</v>
      </c>
      <c r="L216" s="5">
        <v>201202</v>
      </c>
      <c r="M216" s="5">
        <v>11995</v>
      </c>
    </row>
    <row r="217" spans="1:13" ht="31.5" x14ac:dyDescent="0.25">
      <c r="A217" s="5" t="s">
        <v>88</v>
      </c>
      <c r="B217" s="5" t="s">
        <v>269</v>
      </c>
      <c r="C217" s="5">
        <v>3</v>
      </c>
      <c r="D217" s="5">
        <v>8646</v>
      </c>
      <c r="E217" s="5" t="s">
        <v>270</v>
      </c>
      <c r="F217" s="3">
        <v>350000</v>
      </c>
      <c r="G217" s="3" t="s">
        <v>619</v>
      </c>
      <c r="H217" s="3" t="s">
        <v>620</v>
      </c>
      <c r="I217" s="6" t="s">
        <v>582</v>
      </c>
      <c r="J217" s="3" t="s">
        <v>685</v>
      </c>
      <c r="K217" s="7">
        <f>ROUND(114,2)</f>
        <v>114</v>
      </c>
      <c r="L217" s="5">
        <v>201202</v>
      </c>
      <c r="M217" s="5">
        <v>11995</v>
      </c>
    </row>
    <row r="218" spans="1:13" ht="31.5" x14ac:dyDescent="0.25">
      <c r="A218" s="5" t="s">
        <v>288</v>
      </c>
      <c r="B218" s="5" t="s">
        <v>313</v>
      </c>
      <c r="C218" s="5">
        <v>1</v>
      </c>
      <c r="D218" s="5">
        <v>8163</v>
      </c>
      <c r="E218" s="5" t="s">
        <v>128</v>
      </c>
      <c r="F218" s="3">
        <v>320000</v>
      </c>
      <c r="G218" s="3" t="s">
        <v>595</v>
      </c>
      <c r="H218" s="3" t="s">
        <v>612</v>
      </c>
      <c r="I218" s="6" t="s">
        <v>577</v>
      </c>
      <c r="J218" s="3" t="s">
        <v>661</v>
      </c>
      <c r="K218" s="7">
        <f>ROUND(50000,2)</f>
        <v>50000</v>
      </c>
      <c r="L218" s="5">
        <v>402403</v>
      </c>
      <c r="M218" s="5">
        <v>12979</v>
      </c>
    </row>
    <row r="219" spans="1:13" ht="31.5" x14ac:dyDescent="0.25">
      <c r="A219" s="5" t="s">
        <v>304</v>
      </c>
      <c r="B219" s="5" t="s">
        <v>331</v>
      </c>
      <c r="C219" s="5">
        <v>1</v>
      </c>
      <c r="D219" s="5">
        <v>14436</v>
      </c>
      <c r="E219" s="5" t="s">
        <v>332</v>
      </c>
      <c r="F219" s="3">
        <v>261500</v>
      </c>
      <c r="G219" s="3" t="s">
        <v>611</v>
      </c>
      <c r="H219" s="3" t="s">
        <v>592</v>
      </c>
      <c r="I219" s="6" t="s">
        <v>582</v>
      </c>
      <c r="J219" s="3" t="s">
        <v>675</v>
      </c>
      <c r="K219" s="7">
        <f>ROUND(22910,2)</f>
        <v>22910</v>
      </c>
      <c r="L219" s="5">
        <v>401024</v>
      </c>
      <c r="M219" s="5">
        <v>10511</v>
      </c>
    </row>
    <row r="220" spans="1:13" ht="15.75" x14ac:dyDescent="0.25">
      <c r="A220" s="5" t="s">
        <v>211</v>
      </c>
      <c r="B220" s="5" t="s">
        <v>341</v>
      </c>
      <c r="C220" s="5">
        <v>1</v>
      </c>
      <c r="D220" s="5">
        <v>5231</v>
      </c>
      <c r="E220" s="5" t="s">
        <v>339</v>
      </c>
      <c r="F220" s="3">
        <f>VLOOKUP(L208,'[1]GL Lookups'!$A:$E,5,FALSE)</f>
        <v>390000</v>
      </c>
      <c r="G220" s="3" t="s">
        <v>608</v>
      </c>
      <c r="H220" s="3" t="s">
        <v>608</v>
      </c>
      <c r="I220" s="1" t="s">
        <v>588</v>
      </c>
      <c r="J220" s="3" t="e">
        <v>#N/A</v>
      </c>
      <c r="K220" s="7">
        <f>ROUND(522044,2)</f>
        <v>522044</v>
      </c>
      <c r="L220" s="5">
        <v>200311</v>
      </c>
      <c r="M220" s="5" t="s">
        <v>342</v>
      </c>
    </row>
    <row r="221" spans="1:13" ht="31.5" x14ac:dyDescent="0.25">
      <c r="A221" s="5" t="s">
        <v>211</v>
      </c>
      <c r="B221" s="5" t="s">
        <v>336</v>
      </c>
      <c r="C221" s="5">
        <v>1</v>
      </c>
      <c r="D221" s="5">
        <v>14686</v>
      </c>
      <c r="E221" s="5" t="s">
        <v>337</v>
      </c>
      <c r="F221" s="3">
        <v>390000</v>
      </c>
      <c r="G221" s="3" t="s">
        <v>608</v>
      </c>
      <c r="H221" s="3" t="s">
        <v>608</v>
      </c>
      <c r="I221" s="6" t="s">
        <v>577</v>
      </c>
      <c r="J221" s="3" t="s">
        <v>686</v>
      </c>
      <c r="K221" s="7">
        <f>ROUND(40000,2)</f>
        <v>40000</v>
      </c>
      <c r="L221" s="5">
        <v>401600</v>
      </c>
      <c r="M221" s="5">
        <v>13239</v>
      </c>
    </row>
    <row r="222" spans="1:13" ht="15.75" x14ac:dyDescent="0.25">
      <c r="A222" s="5" t="s">
        <v>211</v>
      </c>
      <c r="B222" s="5" t="s">
        <v>327</v>
      </c>
      <c r="C222" s="5">
        <v>1</v>
      </c>
      <c r="D222" s="5">
        <v>6748</v>
      </c>
      <c r="E222" s="5" t="s">
        <v>83</v>
      </c>
      <c r="F222" s="3">
        <f>VLOOKUP(L210,'[1]GL Lookups'!$A:$E,5,FALSE)</f>
        <v>150000</v>
      </c>
      <c r="G222" s="3" t="s">
        <v>601</v>
      </c>
      <c r="H222" s="3" t="s">
        <v>598</v>
      </c>
      <c r="I222" s="4" t="s">
        <v>588</v>
      </c>
      <c r="J222" s="3" t="s">
        <v>682</v>
      </c>
      <c r="K222" s="7">
        <f>ROUND(24177.45,2)</f>
        <v>24177.45</v>
      </c>
      <c r="L222" s="5">
        <v>200304</v>
      </c>
      <c r="M222" s="5" t="s">
        <v>328</v>
      </c>
    </row>
    <row r="223" spans="1:13" ht="47.25" x14ac:dyDescent="0.25">
      <c r="A223" s="5" t="s">
        <v>244</v>
      </c>
      <c r="B223" s="5" t="s">
        <v>338</v>
      </c>
      <c r="C223" s="5">
        <v>1</v>
      </c>
      <c r="D223" s="5">
        <v>5231</v>
      </c>
      <c r="E223" s="5" t="s">
        <v>339</v>
      </c>
      <c r="F223" s="3">
        <f>VLOOKUP(L211,'[1]GL Lookups'!$A:$E,5,FALSE)</f>
        <v>270000</v>
      </c>
      <c r="G223" s="3" t="s">
        <v>578</v>
      </c>
      <c r="H223" s="3" t="s">
        <v>579</v>
      </c>
      <c r="I223" s="4" t="s">
        <v>577</v>
      </c>
      <c r="J223" s="3" t="s">
        <v>647</v>
      </c>
      <c r="K223" s="7">
        <f>ROUND(452420,2)</f>
        <v>452420</v>
      </c>
      <c r="L223" s="5">
        <v>200311</v>
      </c>
      <c r="M223" s="5" t="s">
        <v>340</v>
      </c>
    </row>
    <row r="224" spans="1:13" ht="15.75" x14ac:dyDescent="0.25">
      <c r="A224" s="5" t="s">
        <v>244</v>
      </c>
      <c r="B224" s="5" t="s">
        <v>312</v>
      </c>
      <c r="C224" s="5">
        <v>1</v>
      </c>
      <c r="D224" s="5">
        <v>13860</v>
      </c>
      <c r="E224" s="5" t="s">
        <v>46</v>
      </c>
      <c r="F224" s="3">
        <v>260000</v>
      </c>
      <c r="G224" s="3" t="s">
        <v>604</v>
      </c>
      <c r="H224" s="3" t="s">
        <v>605</v>
      </c>
      <c r="I224" s="6" t="s">
        <v>582</v>
      </c>
      <c r="J224" s="3" t="s">
        <v>649</v>
      </c>
      <c r="K224" s="7">
        <f>ROUND(5040,2)</f>
        <v>5040</v>
      </c>
      <c r="L224" s="5">
        <v>100304</v>
      </c>
      <c r="M224" s="5">
        <v>12328</v>
      </c>
    </row>
    <row r="225" spans="1:13" ht="15.75" x14ac:dyDescent="0.25">
      <c r="A225" s="5" t="s">
        <v>244</v>
      </c>
      <c r="B225" s="5" t="s">
        <v>307</v>
      </c>
      <c r="C225" s="5">
        <v>1</v>
      </c>
      <c r="D225" s="5">
        <v>7025</v>
      </c>
      <c r="E225" s="5" t="s">
        <v>27</v>
      </c>
      <c r="F225" s="3">
        <v>150000</v>
      </c>
      <c r="G225" s="3" t="s">
        <v>601</v>
      </c>
      <c r="H225" s="3" t="s">
        <v>598</v>
      </c>
      <c r="I225" s="6" t="s">
        <v>582</v>
      </c>
      <c r="J225" s="3" t="s">
        <v>650</v>
      </c>
      <c r="K225" s="7">
        <f>ROUND(19250,2)</f>
        <v>19250</v>
      </c>
      <c r="L225" s="5">
        <v>401020</v>
      </c>
      <c r="M225" s="5">
        <v>12866</v>
      </c>
    </row>
    <row r="226" spans="1:13" ht="31.5" x14ac:dyDescent="0.25">
      <c r="A226" s="5" t="s">
        <v>244</v>
      </c>
      <c r="B226" s="5" t="s">
        <v>243</v>
      </c>
      <c r="C226" s="5">
        <v>1</v>
      </c>
      <c r="D226" s="5">
        <v>3297</v>
      </c>
      <c r="E226" s="5" t="s">
        <v>245</v>
      </c>
      <c r="F226" s="3">
        <v>320000</v>
      </c>
      <c r="G226" s="3" t="s">
        <v>595</v>
      </c>
      <c r="H226" s="3" t="s">
        <v>612</v>
      </c>
      <c r="I226" s="6" t="s">
        <v>588</v>
      </c>
      <c r="J226" s="3" t="s">
        <v>668</v>
      </c>
      <c r="K226" s="7">
        <f>ROUND(33324.5,2)</f>
        <v>33324.5</v>
      </c>
      <c r="L226" s="5">
        <v>402403</v>
      </c>
      <c r="M226" s="5">
        <v>13258</v>
      </c>
    </row>
    <row r="227" spans="1:13" ht="31.5" x14ac:dyDescent="0.25">
      <c r="A227" s="5" t="s">
        <v>244</v>
      </c>
      <c r="B227" s="5" t="s">
        <v>330</v>
      </c>
      <c r="C227" s="5">
        <v>1</v>
      </c>
      <c r="D227" s="5">
        <v>1342</v>
      </c>
      <c r="E227" s="5" t="s">
        <v>247</v>
      </c>
      <c r="F227" s="3">
        <v>182020</v>
      </c>
      <c r="G227" s="3" t="s">
        <v>602</v>
      </c>
      <c r="H227" s="3" t="s">
        <v>603</v>
      </c>
      <c r="I227" s="6" t="s">
        <v>582</v>
      </c>
      <c r="J227" s="3" t="s">
        <v>677</v>
      </c>
      <c r="K227" s="7">
        <f>ROUND(828.4,2)</f>
        <v>828.4</v>
      </c>
      <c r="L227" s="5">
        <v>400401</v>
      </c>
      <c r="M227" s="5">
        <v>10883</v>
      </c>
    </row>
    <row r="228" spans="1:13" ht="31.5" x14ac:dyDescent="0.25">
      <c r="A228" s="5" t="s">
        <v>244</v>
      </c>
      <c r="B228" s="5" t="s">
        <v>330</v>
      </c>
      <c r="C228" s="5">
        <v>2</v>
      </c>
      <c r="D228" s="5">
        <v>1342</v>
      </c>
      <c r="E228" s="5" t="s">
        <v>247</v>
      </c>
      <c r="F228" s="3">
        <v>182020</v>
      </c>
      <c r="G228" s="3" t="s">
        <v>602</v>
      </c>
      <c r="H228" s="3" t="s">
        <v>603</v>
      </c>
      <c r="I228" s="6" t="s">
        <v>582</v>
      </c>
      <c r="J228" s="3" t="s">
        <v>677</v>
      </c>
      <c r="K228" s="7">
        <f>ROUND(1656.8,2)</f>
        <v>1656.8</v>
      </c>
      <c r="L228" s="5">
        <v>400401</v>
      </c>
      <c r="M228" s="5">
        <v>10883</v>
      </c>
    </row>
    <row r="229" spans="1:13" ht="31.5" x14ac:dyDescent="0.25">
      <c r="A229" s="5" t="s">
        <v>244</v>
      </c>
      <c r="B229" s="5" t="s">
        <v>330</v>
      </c>
      <c r="C229" s="5">
        <v>3</v>
      </c>
      <c r="D229" s="5">
        <v>1342</v>
      </c>
      <c r="E229" s="5" t="s">
        <v>247</v>
      </c>
      <c r="F229" s="3">
        <v>182020</v>
      </c>
      <c r="G229" s="3" t="s">
        <v>602</v>
      </c>
      <c r="H229" s="3" t="s">
        <v>603</v>
      </c>
      <c r="I229" s="6" t="s">
        <v>582</v>
      </c>
      <c r="J229" s="3" t="s">
        <v>677</v>
      </c>
      <c r="K229" s="7">
        <f>ROUND(3353,2)</f>
        <v>3353</v>
      </c>
      <c r="L229" s="5">
        <v>400401</v>
      </c>
      <c r="M229" s="5">
        <v>10883</v>
      </c>
    </row>
    <row r="230" spans="1:13" ht="31.5" x14ac:dyDescent="0.25">
      <c r="A230" s="5" t="s">
        <v>244</v>
      </c>
      <c r="B230" s="5" t="s">
        <v>320</v>
      </c>
      <c r="C230" s="5">
        <v>1</v>
      </c>
      <c r="D230" s="5">
        <v>6748</v>
      </c>
      <c r="E230" s="5" t="s">
        <v>83</v>
      </c>
      <c r="F230" s="3">
        <f>VLOOKUP(L218,'[1]GL Lookups'!$A:$E,5,FALSE)</f>
        <v>320000</v>
      </c>
      <c r="G230" s="3" t="s">
        <v>595</v>
      </c>
      <c r="H230" s="3" t="s">
        <v>612</v>
      </c>
      <c r="I230" s="4" t="s">
        <v>577</v>
      </c>
      <c r="J230" s="3" t="s">
        <v>661</v>
      </c>
      <c r="K230" s="7">
        <f>ROUND(11061.42,2)</f>
        <v>11061.42</v>
      </c>
      <c r="L230" s="5">
        <v>200316</v>
      </c>
      <c r="M230" s="5" t="s">
        <v>302</v>
      </c>
    </row>
    <row r="231" spans="1:13" ht="31.5" x14ac:dyDescent="0.25">
      <c r="A231" s="5" t="s">
        <v>244</v>
      </c>
      <c r="B231" s="5" t="s">
        <v>318</v>
      </c>
      <c r="C231" s="5">
        <v>1</v>
      </c>
      <c r="D231" s="5">
        <v>6748</v>
      </c>
      <c r="E231" s="5" t="s">
        <v>83</v>
      </c>
      <c r="F231" s="3">
        <f>VLOOKUP(L219,'[1]GL Lookups'!$A:$E,5,FALSE)</f>
        <v>261500</v>
      </c>
      <c r="G231" s="3" t="s">
        <v>611</v>
      </c>
      <c r="H231" s="3" t="s">
        <v>592</v>
      </c>
      <c r="I231" s="4" t="s">
        <v>582</v>
      </c>
      <c r="J231" s="3" t="s">
        <v>675</v>
      </c>
      <c r="K231" s="7">
        <f>ROUND(6913.69,2)</f>
        <v>6913.69</v>
      </c>
      <c r="L231" s="5">
        <v>200316</v>
      </c>
      <c r="M231" s="5" t="s">
        <v>319</v>
      </c>
    </row>
    <row r="232" spans="1:13" ht="31.5" x14ac:dyDescent="0.25">
      <c r="A232" s="5" t="s">
        <v>244</v>
      </c>
      <c r="B232" s="5" t="s">
        <v>316</v>
      </c>
      <c r="C232" s="5">
        <v>1</v>
      </c>
      <c r="D232" s="5">
        <v>6748</v>
      </c>
      <c r="E232" s="5" t="s">
        <v>83</v>
      </c>
      <c r="F232" s="3">
        <f>VLOOKUP(L220,'[1]GL Lookups'!$A:$E,5,FALSE)</f>
        <v>390000</v>
      </c>
      <c r="G232" s="3" t="s">
        <v>585</v>
      </c>
      <c r="H232" s="3" t="s">
        <v>587</v>
      </c>
      <c r="I232" s="1" t="s">
        <v>577</v>
      </c>
      <c r="J232" s="3" t="e">
        <v>#N/A</v>
      </c>
      <c r="K232" s="7">
        <f>ROUND(11075.25,2)</f>
        <v>11075.25</v>
      </c>
      <c r="L232" s="5">
        <v>200316</v>
      </c>
      <c r="M232" s="5" t="s">
        <v>317</v>
      </c>
    </row>
    <row r="233" spans="1:13" ht="31.5" x14ac:dyDescent="0.25">
      <c r="A233" s="5" t="s">
        <v>189</v>
      </c>
      <c r="B233" s="5" t="s">
        <v>348</v>
      </c>
      <c r="C233" s="5">
        <v>1</v>
      </c>
      <c r="D233" s="5">
        <v>1382</v>
      </c>
      <c r="E233" s="5" t="s">
        <v>42</v>
      </c>
      <c r="F233" s="3">
        <v>320000</v>
      </c>
      <c r="G233" s="3" t="s">
        <v>595</v>
      </c>
      <c r="H233" s="3" t="s">
        <v>612</v>
      </c>
      <c r="I233" s="6" t="s">
        <v>577</v>
      </c>
      <c r="J233" s="3" t="s">
        <v>661</v>
      </c>
      <c r="K233" s="7">
        <f>ROUND(23599,2)</f>
        <v>23599</v>
      </c>
      <c r="L233" s="5">
        <v>402403</v>
      </c>
      <c r="M233" s="5">
        <v>12979</v>
      </c>
    </row>
    <row r="234" spans="1:13" ht="31.5" x14ac:dyDescent="0.25">
      <c r="A234" s="5" t="s">
        <v>299</v>
      </c>
      <c r="B234" s="5" t="s">
        <v>356</v>
      </c>
      <c r="C234" s="5">
        <v>1</v>
      </c>
      <c r="D234" s="5">
        <v>1339</v>
      </c>
      <c r="E234" s="5" t="s">
        <v>23</v>
      </c>
      <c r="F234" s="3">
        <v>310000</v>
      </c>
      <c r="G234" s="3" t="s">
        <v>613</v>
      </c>
      <c r="H234" s="3" t="s">
        <v>614</v>
      </c>
      <c r="I234" s="6" t="s">
        <v>588</v>
      </c>
      <c r="J234" s="3" t="s">
        <v>687</v>
      </c>
      <c r="K234" s="7">
        <f>ROUND(31999,2)</f>
        <v>31999</v>
      </c>
      <c r="L234" s="5">
        <v>500402</v>
      </c>
      <c r="M234" s="5">
        <v>13029</v>
      </c>
    </row>
    <row r="235" spans="1:13" ht="15.75" x14ac:dyDescent="0.25">
      <c r="A235" s="5" t="s">
        <v>299</v>
      </c>
      <c r="B235" s="5" t="s">
        <v>298</v>
      </c>
      <c r="C235" s="5">
        <v>1</v>
      </c>
      <c r="D235" s="5">
        <v>10363</v>
      </c>
      <c r="E235" s="5" t="s">
        <v>300</v>
      </c>
      <c r="F235" s="3">
        <v>290000</v>
      </c>
      <c r="G235" s="3" t="s">
        <v>624</v>
      </c>
      <c r="H235" s="3" t="s">
        <v>625</v>
      </c>
      <c r="I235" s="6" t="s">
        <v>582</v>
      </c>
      <c r="J235" s="3" t="s">
        <v>688</v>
      </c>
      <c r="K235" s="7">
        <f>ROUND(9570,2)</f>
        <v>9570</v>
      </c>
      <c r="L235" s="5">
        <v>401801</v>
      </c>
      <c r="M235" s="5">
        <v>12654</v>
      </c>
    </row>
    <row r="236" spans="1:13" ht="15.75" x14ac:dyDescent="0.25">
      <c r="A236" s="5" t="s">
        <v>299</v>
      </c>
      <c r="B236" s="5" t="s">
        <v>358</v>
      </c>
      <c r="C236" s="5">
        <v>1</v>
      </c>
      <c r="D236" s="5">
        <v>6748</v>
      </c>
      <c r="E236" s="5" t="s">
        <v>83</v>
      </c>
      <c r="F236" s="3">
        <f>VLOOKUP(L224,'[1]GL Lookups'!$A:$E,5,FALSE)</f>
        <v>260000</v>
      </c>
      <c r="G236" s="3" t="s">
        <v>604</v>
      </c>
      <c r="H236" s="3" t="s">
        <v>605</v>
      </c>
      <c r="I236" s="4" t="s">
        <v>582</v>
      </c>
      <c r="J236" s="3" t="s">
        <v>649</v>
      </c>
      <c r="K236" s="7">
        <f>ROUND(13132.39,2)</f>
        <v>13132.39</v>
      </c>
      <c r="L236" s="5">
        <v>200316</v>
      </c>
      <c r="M236" s="5" t="s">
        <v>359</v>
      </c>
    </row>
    <row r="237" spans="1:13" ht="31.5" x14ac:dyDescent="0.25">
      <c r="A237" s="5" t="s">
        <v>14</v>
      </c>
      <c r="B237" s="5" t="s">
        <v>357</v>
      </c>
      <c r="C237" s="5">
        <v>1</v>
      </c>
      <c r="D237" s="5">
        <v>4369</v>
      </c>
      <c r="E237" s="5" t="s">
        <v>208</v>
      </c>
      <c r="F237" s="3">
        <v>310000</v>
      </c>
      <c r="G237" s="3" t="s">
        <v>613</v>
      </c>
      <c r="H237" s="3" t="s">
        <v>614</v>
      </c>
      <c r="I237" s="6" t="s">
        <v>588</v>
      </c>
      <c r="J237" s="3" t="s">
        <v>689</v>
      </c>
      <c r="K237" s="7">
        <f>ROUND(31695,2)</f>
        <v>31695</v>
      </c>
      <c r="L237" s="5">
        <v>500402</v>
      </c>
      <c r="M237" s="5">
        <v>13058</v>
      </c>
    </row>
    <row r="238" spans="1:13" ht="31.5" x14ac:dyDescent="0.25">
      <c r="A238" s="5" t="s">
        <v>14</v>
      </c>
      <c r="B238" s="5" t="s">
        <v>361</v>
      </c>
      <c r="C238" s="5">
        <v>1</v>
      </c>
      <c r="D238" s="5">
        <v>3529</v>
      </c>
      <c r="E238" s="5" t="s">
        <v>12</v>
      </c>
      <c r="F238" s="3">
        <f>VLOOKUP(L226,'[1]GL Lookups'!$A:$E,5,FALSE)</f>
        <v>320000</v>
      </c>
      <c r="G238" s="3" t="s">
        <v>595</v>
      </c>
      <c r="H238" s="3" t="s">
        <v>612</v>
      </c>
      <c r="I238" s="4" t="s">
        <v>588</v>
      </c>
      <c r="J238" s="3" t="s">
        <v>668</v>
      </c>
      <c r="K238" s="7">
        <f>ROUND(16594.22,2)</f>
        <v>16594.22</v>
      </c>
      <c r="L238" s="5">
        <v>401600</v>
      </c>
      <c r="M238" s="5" t="s">
        <v>110</v>
      </c>
    </row>
    <row r="239" spans="1:13" ht="31.5" x14ac:dyDescent="0.25">
      <c r="A239" s="5" t="s">
        <v>14</v>
      </c>
      <c r="B239" s="5" t="s">
        <v>349</v>
      </c>
      <c r="C239" s="5">
        <v>1</v>
      </c>
      <c r="D239" s="5">
        <v>14034</v>
      </c>
      <c r="E239" s="5" t="s">
        <v>350</v>
      </c>
      <c r="F239" s="3">
        <v>999999</v>
      </c>
      <c r="G239" s="3" t="s">
        <v>592</v>
      </c>
      <c r="H239" s="3" t="s">
        <v>592</v>
      </c>
      <c r="I239" s="6" t="s">
        <v>577</v>
      </c>
      <c r="J239" s="3" t="s">
        <v>690</v>
      </c>
      <c r="K239" s="7">
        <f>ROUND(75000,2)</f>
        <v>75000</v>
      </c>
      <c r="L239" s="5">
        <v>401035</v>
      </c>
      <c r="M239" s="5">
        <v>10971</v>
      </c>
    </row>
    <row r="240" spans="1:13" ht="31.5" x14ac:dyDescent="0.25">
      <c r="A240" s="5" t="s">
        <v>14</v>
      </c>
      <c r="B240" s="5" t="s">
        <v>310</v>
      </c>
      <c r="C240" s="5">
        <v>1</v>
      </c>
      <c r="D240" s="5">
        <v>13723</v>
      </c>
      <c r="E240" s="5" t="s">
        <v>236</v>
      </c>
      <c r="F240" s="3">
        <f>VLOOKUP(L228,'[1]GL Lookups'!$A:$E,5,FALSE)</f>
        <v>182020</v>
      </c>
      <c r="G240" s="3" t="s">
        <v>602</v>
      </c>
      <c r="H240" s="3" t="s">
        <v>603</v>
      </c>
      <c r="I240" s="4" t="s">
        <v>582</v>
      </c>
      <c r="J240" s="3" t="s">
        <v>677</v>
      </c>
      <c r="K240" s="7">
        <f>ROUND(398000,2)</f>
        <v>398000</v>
      </c>
      <c r="L240" s="5">
        <v>401007</v>
      </c>
      <c r="M240" s="5" t="s">
        <v>38</v>
      </c>
    </row>
    <row r="241" spans="1:13" ht="31.5" x14ac:dyDescent="0.25">
      <c r="A241" s="5" t="s">
        <v>329</v>
      </c>
      <c r="B241" s="5" t="s">
        <v>371</v>
      </c>
      <c r="C241" s="5">
        <v>1</v>
      </c>
      <c r="D241" s="5">
        <v>6748</v>
      </c>
      <c r="E241" s="5" t="s">
        <v>83</v>
      </c>
      <c r="F241" s="3">
        <f>VLOOKUP(L229,'[1]GL Lookups'!$A:$E,5,FALSE)</f>
        <v>182020</v>
      </c>
      <c r="G241" s="3" t="s">
        <v>602</v>
      </c>
      <c r="H241" s="3" t="s">
        <v>603</v>
      </c>
      <c r="I241" s="4" t="s">
        <v>582</v>
      </c>
      <c r="J241" s="3" t="s">
        <v>677</v>
      </c>
      <c r="K241" s="7">
        <f>ROUND(14882.63,2)</f>
        <v>14882.63</v>
      </c>
      <c r="L241" s="5">
        <v>401600</v>
      </c>
      <c r="M241" s="5" t="s">
        <v>84</v>
      </c>
    </row>
    <row r="242" spans="1:13" ht="47.25" x14ac:dyDescent="0.25">
      <c r="A242" s="5" t="s">
        <v>329</v>
      </c>
      <c r="B242" s="5" t="s">
        <v>377</v>
      </c>
      <c r="C242" s="5">
        <v>1</v>
      </c>
      <c r="D242" s="5">
        <v>12193</v>
      </c>
      <c r="E242" s="5" t="s">
        <v>286</v>
      </c>
      <c r="F242" s="3">
        <f>VLOOKUP(L230,'[1]GL Lookups'!$A:$E,5,FALSE)</f>
        <v>391114</v>
      </c>
      <c r="G242" s="3" t="s">
        <v>615</v>
      </c>
      <c r="H242" s="3" t="s">
        <v>616</v>
      </c>
      <c r="I242" s="1" t="s">
        <v>582</v>
      </c>
      <c r="J242" s="3" t="e">
        <v>#N/A</v>
      </c>
      <c r="K242" s="7">
        <f>ROUND(32855.51,2)</f>
        <v>32855.51</v>
      </c>
      <c r="L242" s="5">
        <v>200304</v>
      </c>
      <c r="M242" s="5" t="s">
        <v>378</v>
      </c>
    </row>
    <row r="243" spans="1:13" ht="47.25" x14ac:dyDescent="0.25">
      <c r="A243" s="5" t="s">
        <v>329</v>
      </c>
      <c r="B243" s="5" t="s">
        <v>375</v>
      </c>
      <c r="C243" s="5">
        <v>1</v>
      </c>
      <c r="D243" s="5">
        <v>6748</v>
      </c>
      <c r="E243" s="5" t="s">
        <v>83</v>
      </c>
      <c r="F243" s="3">
        <f>VLOOKUP(L231,'[1]GL Lookups'!$A:$E,5,FALSE)</f>
        <v>391114</v>
      </c>
      <c r="G243" s="3" t="s">
        <v>615</v>
      </c>
      <c r="H243" s="3" t="s">
        <v>616</v>
      </c>
      <c r="I243" s="1" t="s">
        <v>582</v>
      </c>
      <c r="J243" s="3" t="e">
        <v>#N/A</v>
      </c>
      <c r="K243" s="7">
        <f>ROUND(9894.95,2)</f>
        <v>9894.9500000000007</v>
      </c>
      <c r="L243" s="5">
        <v>401600</v>
      </c>
      <c r="M243" s="5" t="s">
        <v>367</v>
      </c>
    </row>
    <row r="244" spans="1:13" ht="47.25" x14ac:dyDescent="0.25">
      <c r="A244" s="5" t="s">
        <v>329</v>
      </c>
      <c r="B244" s="5" t="s">
        <v>366</v>
      </c>
      <c r="C244" s="5">
        <v>1</v>
      </c>
      <c r="D244" s="5">
        <v>6748</v>
      </c>
      <c r="E244" s="5" t="s">
        <v>83</v>
      </c>
      <c r="F244" s="3">
        <f>VLOOKUP(L232,'[1]GL Lookups'!$A:$E,5,FALSE)</f>
        <v>391114</v>
      </c>
      <c r="G244" s="3" t="s">
        <v>615</v>
      </c>
      <c r="H244" s="3" t="s">
        <v>616</v>
      </c>
      <c r="I244" s="1" t="s">
        <v>582</v>
      </c>
      <c r="J244" s="3" t="e">
        <v>#N/A</v>
      </c>
      <c r="K244" s="7">
        <f>ROUND(9894.95,2)</f>
        <v>9894.9500000000007</v>
      </c>
      <c r="L244" s="5">
        <v>401600</v>
      </c>
      <c r="M244" s="5" t="s">
        <v>367</v>
      </c>
    </row>
    <row r="245" spans="1:13" ht="31.5" x14ac:dyDescent="0.25">
      <c r="A245" s="5" t="s">
        <v>311</v>
      </c>
      <c r="B245" s="5" t="s">
        <v>363</v>
      </c>
      <c r="C245" s="5">
        <v>1</v>
      </c>
      <c r="D245" s="5">
        <v>11168</v>
      </c>
      <c r="E245" s="5" t="s">
        <v>364</v>
      </c>
      <c r="F245" s="3">
        <f>VLOOKUP(L233,'[1]GL Lookups'!$A:$E,5,FALSE)</f>
        <v>320000</v>
      </c>
      <c r="G245" s="3" t="s">
        <v>595</v>
      </c>
      <c r="H245" s="3" t="s">
        <v>612</v>
      </c>
      <c r="I245" s="4" t="s">
        <v>577</v>
      </c>
      <c r="J245" s="3" t="s">
        <v>661</v>
      </c>
      <c r="K245" s="7">
        <f>ROUND(85600,2)</f>
        <v>85600</v>
      </c>
      <c r="L245" s="5">
        <v>401007</v>
      </c>
      <c r="M245" s="5" t="s">
        <v>365</v>
      </c>
    </row>
    <row r="246" spans="1:13" ht="47.25" x14ac:dyDescent="0.25">
      <c r="A246" s="5" t="s">
        <v>301</v>
      </c>
      <c r="B246" s="5" t="s">
        <v>380</v>
      </c>
      <c r="C246" s="5">
        <v>1</v>
      </c>
      <c r="D246" s="5">
        <v>15359</v>
      </c>
      <c r="E246" s="5" t="s">
        <v>381</v>
      </c>
      <c r="F246" s="3">
        <v>270000</v>
      </c>
      <c r="G246" s="3" t="s">
        <v>578</v>
      </c>
      <c r="H246" s="3" t="s">
        <v>579</v>
      </c>
      <c r="I246" s="6" t="s">
        <v>577</v>
      </c>
      <c r="J246" s="3" t="s">
        <v>691</v>
      </c>
      <c r="K246" s="7">
        <f>ROUND(5336.78,2)</f>
        <v>5336.78</v>
      </c>
      <c r="L246" s="5">
        <v>402001</v>
      </c>
      <c r="M246" s="5">
        <v>11418</v>
      </c>
    </row>
    <row r="247" spans="1:13" ht="47.25" x14ac:dyDescent="0.25">
      <c r="A247" s="5" t="s">
        <v>301</v>
      </c>
      <c r="B247" s="5" t="s">
        <v>380</v>
      </c>
      <c r="C247" s="5">
        <v>2</v>
      </c>
      <c r="D247" s="5">
        <v>15359</v>
      </c>
      <c r="E247" s="5" t="s">
        <v>381</v>
      </c>
      <c r="F247" s="3">
        <v>270000</v>
      </c>
      <c r="G247" s="3" t="s">
        <v>578</v>
      </c>
      <c r="H247" s="3" t="s">
        <v>579</v>
      </c>
      <c r="I247" s="6" t="s">
        <v>577</v>
      </c>
      <c r="J247" s="3" t="s">
        <v>691</v>
      </c>
      <c r="K247" s="7">
        <f>ROUND(3096.06,2)</f>
        <v>3096.06</v>
      </c>
      <c r="L247" s="5">
        <v>402001</v>
      </c>
      <c r="M247" s="5">
        <v>11418</v>
      </c>
    </row>
    <row r="248" spans="1:13" ht="47.25" x14ac:dyDescent="0.25">
      <c r="A248" s="5" t="s">
        <v>301</v>
      </c>
      <c r="B248" s="5" t="s">
        <v>380</v>
      </c>
      <c r="C248" s="5">
        <v>3</v>
      </c>
      <c r="D248" s="5">
        <v>15359</v>
      </c>
      <c r="E248" s="5" t="s">
        <v>381</v>
      </c>
      <c r="F248" s="3">
        <v>270000</v>
      </c>
      <c r="G248" s="3" t="s">
        <v>578</v>
      </c>
      <c r="H248" s="3" t="s">
        <v>579</v>
      </c>
      <c r="I248" s="6" t="s">
        <v>577</v>
      </c>
      <c r="J248" s="3" t="s">
        <v>691</v>
      </c>
      <c r="K248" s="7">
        <f>ROUND(277.32,2)</f>
        <v>277.32</v>
      </c>
      <c r="L248" s="5">
        <v>402001</v>
      </c>
      <c r="M248" s="5">
        <v>11418</v>
      </c>
    </row>
    <row r="249" spans="1:13" ht="47.25" x14ac:dyDescent="0.25">
      <c r="A249" s="5" t="s">
        <v>301</v>
      </c>
      <c r="B249" s="5" t="s">
        <v>380</v>
      </c>
      <c r="C249" s="5">
        <v>4</v>
      </c>
      <c r="D249" s="5">
        <v>15359</v>
      </c>
      <c r="E249" s="5" t="s">
        <v>381</v>
      </c>
      <c r="F249" s="3">
        <v>270000</v>
      </c>
      <c r="G249" s="3" t="s">
        <v>578</v>
      </c>
      <c r="H249" s="3" t="s">
        <v>579</v>
      </c>
      <c r="I249" s="6" t="s">
        <v>577</v>
      </c>
      <c r="J249" s="3" t="s">
        <v>691</v>
      </c>
      <c r="K249" s="7">
        <f>ROUND(230.45,2)</f>
        <v>230.45</v>
      </c>
      <c r="L249" s="5">
        <v>402001</v>
      </c>
      <c r="M249" s="5">
        <v>11418</v>
      </c>
    </row>
    <row r="250" spans="1:13" ht="47.25" x14ac:dyDescent="0.25">
      <c r="A250" s="5" t="s">
        <v>301</v>
      </c>
      <c r="B250" s="5" t="s">
        <v>380</v>
      </c>
      <c r="C250" s="5">
        <v>5</v>
      </c>
      <c r="D250" s="5">
        <v>15359</v>
      </c>
      <c r="E250" s="5" t="s">
        <v>381</v>
      </c>
      <c r="F250" s="3">
        <v>270000</v>
      </c>
      <c r="G250" s="3" t="s">
        <v>578</v>
      </c>
      <c r="H250" s="3" t="s">
        <v>579</v>
      </c>
      <c r="I250" s="6" t="s">
        <v>577</v>
      </c>
      <c r="J250" s="3" t="s">
        <v>691</v>
      </c>
      <c r="K250" s="7">
        <f>ROUND(1050,2)</f>
        <v>1050</v>
      </c>
      <c r="L250" s="5">
        <v>402001</v>
      </c>
      <c r="M250" s="5">
        <v>11418</v>
      </c>
    </row>
    <row r="251" spans="1:13" ht="30" x14ac:dyDescent="0.25">
      <c r="A251" s="5" t="s">
        <v>301</v>
      </c>
      <c r="B251" s="5" t="s">
        <v>389</v>
      </c>
      <c r="C251" s="5">
        <v>1</v>
      </c>
      <c r="D251" s="5">
        <v>16092</v>
      </c>
      <c r="E251" s="5" t="s">
        <v>390</v>
      </c>
      <c r="F251" s="3">
        <f>VLOOKUP(L239,'[1]GL Lookups'!$A:$E,5,FALSE)</f>
        <v>999999</v>
      </c>
      <c r="G251" s="3" t="s">
        <v>592</v>
      </c>
      <c r="H251" s="3" t="s">
        <v>592</v>
      </c>
      <c r="I251" s="4" t="s">
        <v>577</v>
      </c>
      <c r="J251" s="3" t="s">
        <v>690</v>
      </c>
      <c r="K251" s="7">
        <f>ROUND(9837.6,2)</f>
        <v>9837.6</v>
      </c>
      <c r="L251" s="5">
        <v>200311</v>
      </c>
      <c r="M251" s="5" t="s">
        <v>391</v>
      </c>
    </row>
    <row r="252" spans="1:13" ht="15.75" x14ac:dyDescent="0.25">
      <c r="A252" s="5" t="s">
        <v>301</v>
      </c>
      <c r="B252" s="5" t="s">
        <v>376</v>
      </c>
      <c r="C252" s="5">
        <v>1</v>
      </c>
      <c r="D252" s="5">
        <v>12193</v>
      </c>
      <c r="E252" s="5" t="s">
        <v>286</v>
      </c>
      <c r="F252" s="3">
        <f>VLOOKUP(L240,'[1]GL Lookups'!$A:$E,5,FALSE)</f>
        <v>150000</v>
      </c>
      <c r="G252" s="3" t="s">
        <v>601</v>
      </c>
      <c r="H252" s="3" t="s">
        <v>598</v>
      </c>
      <c r="I252" s="1" t="s">
        <v>582</v>
      </c>
      <c r="J252" s="3" t="e">
        <v>#N/A</v>
      </c>
      <c r="K252" s="7">
        <f>ROUND(35818.38,2)</f>
        <v>35818.379999999997</v>
      </c>
      <c r="L252" s="5">
        <v>200304</v>
      </c>
      <c r="M252" s="5" t="s">
        <v>372</v>
      </c>
    </row>
    <row r="253" spans="1:13" ht="31.5" x14ac:dyDescent="0.25">
      <c r="A253" s="5" t="s">
        <v>124</v>
      </c>
      <c r="B253" s="5" t="s">
        <v>123</v>
      </c>
      <c r="C253" s="5">
        <v>1</v>
      </c>
      <c r="D253" s="5">
        <v>1243</v>
      </c>
      <c r="E253" s="5" t="s">
        <v>125</v>
      </c>
      <c r="F253" s="3">
        <v>320000</v>
      </c>
      <c r="G253" s="3" t="s">
        <v>595</v>
      </c>
      <c r="H253" s="3" t="s">
        <v>612</v>
      </c>
      <c r="I253" s="6" t="s">
        <v>588</v>
      </c>
      <c r="J253" s="3" t="s">
        <v>692</v>
      </c>
      <c r="K253" s="7">
        <f>ROUND(463576.88,2)</f>
        <v>463576.88</v>
      </c>
      <c r="L253" s="5">
        <v>402403</v>
      </c>
      <c r="M253" s="5">
        <v>12724</v>
      </c>
    </row>
    <row r="254" spans="1:13" ht="15.75" x14ac:dyDescent="0.25">
      <c r="A254" s="5" t="s">
        <v>124</v>
      </c>
      <c r="B254" s="5" t="s">
        <v>345</v>
      </c>
      <c r="C254" s="5">
        <v>1</v>
      </c>
      <c r="D254" s="5">
        <v>11221</v>
      </c>
      <c r="E254" s="5" t="s">
        <v>346</v>
      </c>
      <c r="F254" s="3">
        <v>999999</v>
      </c>
      <c r="G254" s="3" t="s">
        <v>592</v>
      </c>
      <c r="H254" s="3" t="s">
        <v>592</v>
      </c>
      <c r="I254" s="6" t="s">
        <v>582</v>
      </c>
      <c r="J254" s="3" t="s">
        <v>650</v>
      </c>
      <c r="K254" s="7">
        <f>ROUND(1047930.06,2)</f>
        <v>1047930.06</v>
      </c>
      <c r="L254" s="5">
        <v>401035</v>
      </c>
      <c r="M254" s="5">
        <v>12866</v>
      </c>
    </row>
    <row r="255" spans="1:13" ht="15.75" x14ac:dyDescent="0.25">
      <c r="A255" s="5" t="s">
        <v>124</v>
      </c>
      <c r="B255" s="5" t="s">
        <v>345</v>
      </c>
      <c r="C255" s="5">
        <v>2</v>
      </c>
      <c r="D255" s="5">
        <v>11221</v>
      </c>
      <c r="E255" s="5" t="s">
        <v>346</v>
      </c>
      <c r="F255" s="3">
        <v>999999</v>
      </c>
      <c r="G255" s="3" t="s">
        <v>592</v>
      </c>
      <c r="H255" s="3" t="s">
        <v>592</v>
      </c>
      <c r="I255" s="6" t="s">
        <v>582</v>
      </c>
      <c r="J255" s="3" t="s">
        <v>650</v>
      </c>
      <c r="K255" s="7">
        <f>ROUND(176848.38,2)</f>
        <v>176848.38</v>
      </c>
      <c r="L255" s="5">
        <v>401035</v>
      </c>
      <c r="M255" s="5">
        <v>12866</v>
      </c>
    </row>
    <row r="256" spans="1:13" ht="15.75" x14ac:dyDescent="0.25">
      <c r="A256" s="5" t="s">
        <v>124</v>
      </c>
      <c r="B256" s="5" t="s">
        <v>345</v>
      </c>
      <c r="C256" s="5">
        <v>3</v>
      </c>
      <c r="D256" s="5">
        <v>11221</v>
      </c>
      <c r="E256" s="5" t="s">
        <v>346</v>
      </c>
      <c r="F256" s="3">
        <v>999999</v>
      </c>
      <c r="G256" s="3" t="s">
        <v>592</v>
      </c>
      <c r="H256" s="3" t="s">
        <v>592</v>
      </c>
      <c r="I256" s="6" t="s">
        <v>582</v>
      </c>
      <c r="J256" s="3" t="s">
        <v>650</v>
      </c>
      <c r="K256" s="7">
        <f>ROUND(13100,2)</f>
        <v>13100</v>
      </c>
      <c r="L256" s="5">
        <v>401035</v>
      </c>
      <c r="M256" s="5">
        <v>12866</v>
      </c>
    </row>
    <row r="257" spans="1:13" ht="15.75" x14ac:dyDescent="0.25">
      <c r="A257" s="5" t="s">
        <v>124</v>
      </c>
      <c r="B257" s="5" t="s">
        <v>345</v>
      </c>
      <c r="C257" s="5">
        <v>4</v>
      </c>
      <c r="D257" s="5">
        <v>11221</v>
      </c>
      <c r="E257" s="5" t="s">
        <v>346</v>
      </c>
      <c r="F257" s="3">
        <v>999999</v>
      </c>
      <c r="G257" s="3" t="s">
        <v>592</v>
      </c>
      <c r="H257" s="3" t="s">
        <v>592</v>
      </c>
      <c r="I257" s="6" t="s">
        <v>582</v>
      </c>
      <c r="J257" s="3" t="s">
        <v>650</v>
      </c>
      <c r="K257" s="7">
        <f>ROUND(14672.66,2)</f>
        <v>14672.66</v>
      </c>
      <c r="L257" s="5">
        <v>401035</v>
      </c>
      <c r="M257" s="5">
        <v>12866</v>
      </c>
    </row>
    <row r="258" spans="1:13" ht="15.75" x14ac:dyDescent="0.25">
      <c r="A258" s="5" t="s">
        <v>124</v>
      </c>
      <c r="B258" s="5" t="s">
        <v>345</v>
      </c>
      <c r="C258" s="5">
        <v>5</v>
      </c>
      <c r="D258" s="5">
        <v>11221</v>
      </c>
      <c r="E258" s="5" t="s">
        <v>346</v>
      </c>
      <c r="F258" s="3">
        <v>999999</v>
      </c>
      <c r="G258" s="3" t="s">
        <v>592</v>
      </c>
      <c r="H258" s="3" t="s">
        <v>592</v>
      </c>
      <c r="I258" s="6" t="s">
        <v>582</v>
      </c>
      <c r="J258" s="3" t="s">
        <v>650</v>
      </c>
      <c r="K258" s="7">
        <f>ROUND(72467.26,2)</f>
        <v>72467.259999999995</v>
      </c>
      <c r="L258" s="5">
        <v>401035</v>
      </c>
      <c r="M258" s="5">
        <v>12866</v>
      </c>
    </row>
    <row r="259" spans="1:13" ht="15.75" x14ac:dyDescent="0.25">
      <c r="A259" s="5" t="s">
        <v>124</v>
      </c>
      <c r="B259" s="5" t="s">
        <v>345</v>
      </c>
      <c r="C259" s="5">
        <v>6</v>
      </c>
      <c r="D259" s="5">
        <v>11221</v>
      </c>
      <c r="E259" s="5" t="s">
        <v>346</v>
      </c>
      <c r="F259" s="3">
        <v>999999</v>
      </c>
      <c r="G259" s="3" t="s">
        <v>592</v>
      </c>
      <c r="H259" s="3" t="s">
        <v>592</v>
      </c>
      <c r="I259" s="6" t="s">
        <v>582</v>
      </c>
      <c r="J259" s="3" t="s">
        <v>650</v>
      </c>
      <c r="K259" s="7">
        <f>ROUND(42031.9,2)</f>
        <v>42031.9</v>
      </c>
      <c r="L259" s="5">
        <v>401035</v>
      </c>
      <c r="M259" s="5">
        <v>12866</v>
      </c>
    </row>
    <row r="260" spans="1:13" ht="47.25" x14ac:dyDescent="0.25">
      <c r="A260" s="5" t="s">
        <v>384</v>
      </c>
      <c r="B260" s="5" t="s">
        <v>398</v>
      </c>
      <c r="C260" s="5">
        <v>1</v>
      </c>
      <c r="D260" s="5">
        <v>865</v>
      </c>
      <c r="E260" s="5" t="s">
        <v>399</v>
      </c>
      <c r="F260" s="3">
        <f>VLOOKUP(L248,'[1]GL Lookups'!$A:$E,5,FALSE)</f>
        <v>270000</v>
      </c>
      <c r="G260" s="3" t="s">
        <v>578</v>
      </c>
      <c r="H260" s="3" t="s">
        <v>579</v>
      </c>
      <c r="I260" s="4" t="s">
        <v>577</v>
      </c>
      <c r="J260" s="3" t="s">
        <v>691</v>
      </c>
      <c r="K260" s="7">
        <f>ROUND(99591.02,2)</f>
        <v>99591.02</v>
      </c>
      <c r="L260" s="5">
        <v>401600</v>
      </c>
      <c r="M260" s="5" t="s">
        <v>400</v>
      </c>
    </row>
    <row r="261" spans="1:13" ht="15.75" x14ac:dyDescent="0.25">
      <c r="A261" s="5" t="s">
        <v>323</v>
      </c>
      <c r="B261" s="5" t="s">
        <v>322</v>
      </c>
      <c r="C261" s="5">
        <v>1</v>
      </c>
      <c r="D261" s="5">
        <v>8183</v>
      </c>
      <c r="E261" s="5" t="s">
        <v>324</v>
      </c>
      <c r="F261" s="3">
        <v>150000</v>
      </c>
      <c r="G261" s="3" t="s">
        <v>601</v>
      </c>
      <c r="H261" s="3" t="s">
        <v>598</v>
      </c>
      <c r="I261" s="6" t="s">
        <v>588</v>
      </c>
      <c r="J261" s="3" t="s">
        <v>693</v>
      </c>
      <c r="K261" s="7">
        <f>ROUND(11100,2)</f>
        <v>11100</v>
      </c>
      <c r="L261" s="5">
        <v>401020</v>
      </c>
      <c r="M261" s="5">
        <v>12202</v>
      </c>
    </row>
    <row r="262" spans="1:13" ht="31.5" x14ac:dyDescent="0.25">
      <c r="A262" s="5" t="s">
        <v>369</v>
      </c>
      <c r="B262" s="5" t="s">
        <v>370</v>
      </c>
      <c r="C262" s="5">
        <v>1</v>
      </c>
      <c r="D262" s="5">
        <v>14503</v>
      </c>
      <c r="E262" s="5" t="s">
        <v>279</v>
      </c>
      <c r="F262" s="3">
        <v>210000</v>
      </c>
      <c r="G262" s="3" t="s">
        <v>600</v>
      </c>
      <c r="H262" s="3" t="s">
        <v>576</v>
      </c>
      <c r="I262" s="6" t="s">
        <v>588</v>
      </c>
      <c r="J262" s="3" t="s">
        <v>694</v>
      </c>
      <c r="K262" s="7">
        <f>ROUND(10000,2)</f>
        <v>10000</v>
      </c>
      <c r="L262" s="5">
        <v>400105</v>
      </c>
      <c r="M262" s="5">
        <v>11430</v>
      </c>
    </row>
    <row r="263" spans="1:13" ht="31.5" x14ac:dyDescent="0.25">
      <c r="A263" s="5" t="s">
        <v>369</v>
      </c>
      <c r="B263" s="5" t="s">
        <v>368</v>
      </c>
      <c r="C263" s="5">
        <v>1</v>
      </c>
      <c r="D263" s="5">
        <v>14503</v>
      </c>
      <c r="E263" s="5" t="s">
        <v>279</v>
      </c>
      <c r="F263" s="3">
        <v>210000</v>
      </c>
      <c r="G263" s="3" t="s">
        <v>600</v>
      </c>
      <c r="H263" s="3" t="s">
        <v>576</v>
      </c>
      <c r="I263" s="6" t="s">
        <v>588</v>
      </c>
      <c r="J263" s="3" t="s">
        <v>689</v>
      </c>
      <c r="K263" s="7">
        <f>ROUND(10000,2)</f>
        <v>10000</v>
      </c>
      <c r="L263" s="5">
        <v>400105</v>
      </c>
      <c r="M263" s="5">
        <v>13058</v>
      </c>
    </row>
    <row r="264" spans="1:13" ht="31.5" x14ac:dyDescent="0.25">
      <c r="A264" s="5" t="s">
        <v>369</v>
      </c>
      <c r="B264" s="5" t="s">
        <v>413</v>
      </c>
      <c r="C264" s="5">
        <v>1</v>
      </c>
      <c r="D264" s="5">
        <v>9403</v>
      </c>
      <c r="E264" s="5" t="s">
        <v>414</v>
      </c>
      <c r="F264" s="3">
        <f>VLOOKUP(L252,'[1]GL Lookups'!$A:$E,5,FALSE)</f>
        <v>390000</v>
      </c>
      <c r="G264" s="3" t="s">
        <v>585</v>
      </c>
      <c r="H264" s="3" t="s">
        <v>587</v>
      </c>
      <c r="I264" s="1" t="s">
        <v>588</v>
      </c>
      <c r="J264" s="3" t="e">
        <v>#N/A</v>
      </c>
      <c r="K264" s="7">
        <f>ROUND(7100,2)</f>
        <v>7100</v>
      </c>
      <c r="L264" s="5">
        <v>200311</v>
      </c>
      <c r="M264" s="5" t="s">
        <v>415</v>
      </c>
    </row>
    <row r="265" spans="1:13" ht="15.75" x14ac:dyDescent="0.25">
      <c r="A265" s="5" t="s">
        <v>369</v>
      </c>
      <c r="B265" s="5" t="s">
        <v>404</v>
      </c>
      <c r="C265" s="5">
        <v>1</v>
      </c>
      <c r="D265" s="5">
        <v>16092</v>
      </c>
      <c r="E265" s="5" t="s">
        <v>390</v>
      </c>
      <c r="F265" s="3">
        <v>150000</v>
      </c>
      <c r="G265" s="3" t="s">
        <v>601</v>
      </c>
      <c r="H265" s="3" t="s">
        <v>598</v>
      </c>
      <c r="I265" s="6" t="s">
        <v>582</v>
      </c>
      <c r="J265" s="3" t="s">
        <v>650</v>
      </c>
      <c r="K265" s="7">
        <f>ROUND(53700,2)</f>
        <v>53700</v>
      </c>
      <c r="L265" s="5">
        <v>401020</v>
      </c>
      <c r="M265" s="5">
        <v>12866</v>
      </c>
    </row>
    <row r="266" spans="1:13" ht="31.5" x14ac:dyDescent="0.25">
      <c r="A266" s="5" t="s">
        <v>369</v>
      </c>
      <c r="B266" s="5" t="s">
        <v>409</v>
      </c>
      <c r="C266" s="5">
        <v>1</v>
      </c>
      <c r="D266" s="5">
        <v>1799</v>
      </c>
      <c r="E266" s="5" t="s">
        <v>68</v>
      </c>
      <c r="F266" s="3">
        <v>181800</v>
      </c>
      <c r="G266" s="3" t="s">
        <v>575</v>
      </c>
      <c r="H266" s="3" t="s">
        <v>576</v>
      </c>
      <c r="I266" s="6" t="s">
        <v>588</v>
      </c>
      <c r="J266" s="3" t="s">
        <v>695</v>
      </c>
      <c r="K266" s="7">
        <f>ROUND(33021.08,2)</f>
        <v>33021.08</v>
      </c>
      <c r="L266" s="5">
        <v>400110</v>
      </c>
      <c r="M266" s="5">
        <v>11011</v>
      </c>
    </row>
    <row r="267" spans="1:13" ht="31.5" x14ac:dyDescent="0.25">
      <c r="A267" s="5" t="s">
        <v>334</v>
      </c>
      <c r="B267" s="5" t="s">
        <v>416</v>
      </c>
      <c r="C267" s="5">
        <v>1</v>
      </c>
      <c r="D267" s="5">
        <v>9534</v>
      </c>
      <c r="E267" s="5" t="s">
        <v>417</v>
      </c>
      <c r="F267" s="3">
        <v>150000</v>
      </c>
      <c r="G267" s="3" t="s">
        <v>601</v>
      </c>
      <c r="H267" s="3" t="s">
        <v>598</v>
      </c>
      <c r="I267" s="6" t="s">
        <v>626</v>
      </c>
      <c r="J267" s="3" t="s">
        <v>696</v>
      </c>
      <c r="K267" s="7">
        <f>ROUND(91694.57,2)</f>
        <v>91694.57</v>
      </c>
      <c r="L267" s="5">
        <v>401020</v>
      </c>
      <c r="M267" s="5">
        <v>12175</v>
      </c>
    </row>
    <row r="268" spans="1:13" ht="47.25" x14ac:dyDescent="0.25">
      <c r="A268" s="5" t="s">
        <v>334</v>
      </c>
      <c r="B268" s="5" t="s">
        <v>352</v>
      </c>
      <c r="C268" s="5">
        <v>1</v>
      </c>
      <c r="D268" s="5">
        <v>16862</v>
      </c>
      <c r="E268" s="5" t="s">
        <v>353</v>
      </c>
      <c r="F268" s="3">
        <v>270000</v>
      </c>
      <c r="G268" s="3" t="s">
        <v>578</v>
      </c>
      <c r="H268" s="3" t="s">
        <v>579</v>
      </c>
      <c r="I268" s="6" t="s">
        <v>582</v>
      </c>
      <c r="J268" s="3" t="s">
        <v>675</v>
      </c>
      <c r="K268" s="7">
        <f>ROUND(5530.14,2)</f>
        <v>5530.14</v>
      </c>
      <c r="L268" s="5">
        <v>402010</v>
      </c>
      <c r="M268" s="5">
        <v>10511</v>
      </c>
    </row>
    <row r="269" spans="1:13" ht="31.5" x14ac:dyDescent="0.25">
      <c r="A269" s="5" t="s">
        <v>334</v>
      </c>
      <c r="B269" s="5" t="s">
        <v>355</v>
      </c>
      <c r="C269" s="5">
        <v>1</v>
      </c>
      <c r="D269" s="5">
        <v>4369</v>
      </c>
      <c r="E269" s="5" t="s">
        <v>208</v>
      </c>
      <c r="F269" s="3">
        <v>310000</v>
      </c>
      <c r="G269" s="3" t="s">
        <v>613</v>
      </c>
      <c r="H269" s="3" t="s">
        <v>614</v>
      </c>
      <c r="I269" s="6" t="s">
        <v>588</v>
      </c>
      <c r="J269" s="3" t="s">
        <v>641</v>
      </c>
      <c r="K269" s="7">
        <f>ROUND(228464,2)</f>
        <v>228464</v>
      </c>
      <c r="L269" s="5">
        <v>500402</v>
      </c>
      <c r="M269" s="5">
        <v>13191</v>
      </c>
    </row>
    <row r="270" spans="1:13" ht="31.5" x14ac:dyDescent="0.25">
      <c r="A270" s="5" t="s">
        <v>334</v>
      </c>
      <c r="B270" s="5" t="s">
        <v>354</v>
      </c>
      <c r="C270" s="5">
        <v>1</v>
      </c>
      <c r="D270" s="5">
        <v>4369</v>
      </c>
      <c r="E270" s="5" t="s">
        <v>208</v>
      </c>
      <c r="F270" s="3">
        <v>310000</v>
      </c>
      <c r="G270" s="3" t="s">
        <v>613</v>
      </c>
      <c r="H270" s="3" t="s">
        <v>614</v>
      </c>
      <c r="I270" s="6" t="s">
        <v>588</v>
      </c>
      <c r="J270" s="3" t="s">
        <v>697</v>
      </c>
      <c r="K270" s="7">
        <f>ROUND(165369,2)</f>
        <v>165369</v>
      </c>
      <c r="L270" s="5">
        <v>500402</v>
      </c>
      <c r="M270" s="5">
        <v>11500</v>
      </c>
    </row>
    <row r="271" spans="1:13" ht="31.5" x14ac:dyDescent="0.25">
      <c r="A271" s="5" t="s">
        <v>334</v>
      </c>
      <c r="B271" s="5" t="s">
        <v>333</v>
      </c>
      <c r="C271" s="5">
        <v>1</v>
      </c>
      <c r="D271" s="5">
        <v>421</v>
      </c>
      <c r="E271" s="5" t="s">
        <v>335</v>
      </c>
      <c r="F271" s="3">
        <v>190000</v>
      </c>
      <c r="G271" s="3" t="s">
        <v>617</v>
      </c>
      <c r="H271" s="3" t="s">
        <v>618</v>
      </c>
      <c r="I271" s="6" t="s">
        <v>588</v>
      </c>
      <c r="J271" s="3" t="s">
        <v>698</v>
      </c>
      <c r="K271" s="7">
        <f>ROUND(8800,2)</f>
        <v>8800</v>
      </c>
      <c r="L271" s="5">
        <v>400700</v>
      </c>
      <c r="M271" s="5">
        <v>12997</v>
      </c>
    </row>
    <row r="272" spans="1:13" ht="15.75" x14ac:dyDescent="0.25">
      <c r="A272" s="5" t="s">
        <v>334</v>
      </c>
      <c r="B272" s="5" t="s">
        <v>418</v>
      </c>
      <c r="C272" s="5">
        <v>1</v>
      </c>
      <c r="D272" s="5">
        <v>16841</v>
      </c>
      <c r="E272" s="5" t="s">
        <v>419</v>
      </c>
      <c r="F272" s="3">
        <v>150000</v>
      </c>
      <c r="G272" s="3" t="s">
        <v>601</v>
      </c>
      <c r="H272" s="3" t="s">
        <v>598</v>
      </c>
      <c r="I272" s="6" t="s">
        <v>588</v>
      </c>
      <c r="J272" s="3" t="s">
        <v>699</v>
      </c>
      <c r="K272" s="7">
        <f>ROUND(20000,2)</f>
        <v>20000</v>
      </c>
      <c r="L272" s="5">
        <v>401007</v>
      </c>
      <c r="M272" s="5">
        <v>10751</v>
      </c>
    </row>
    <row r="273" spans="1:13" ht="15.75" x14ac:dyDescent="0.25">
      <c r="A273" s="5" t="s">
        <v>334</v>
      </c>
      <c r="B273" s="5" t="s">
        <v>410</v>
      </c>
      <c r="C273" s="5">
        <v>1</v>
      </c>
      <c r="D273" s="5">
        <v>6748</v>
      </c>
      <c r="E273" s="5" t="s">
        <v>83</v>
      </c>
      <c r="F273" s="3">
        <f>VLOOKUP(L261,'[1]GL Lookups'!$A:$E,5,FALSE)</f>
        <v>150000</v>
      </c>
      <c r="G273" s="3" t="s">
        <v>601</v>
      </c>
      <c r="H273" s="3" t="s">
        <v>598</v>
      </c>
      <c r="I273" s="4" t="s">
        <v>588</v>
      </c>
      <c r="J273" s="3" t="s">
        <v>693</v>
      </c>
      <c r="K273" s="7">
        <f>ROUND(43777.22,2)</f>
        <v>43777.22</v>
      </c>
      <c r="L273" s="5">
        <v>401600</v>
      </c>
      <c r="M273" s="5" t="s">
        <v>411</v>
      </c>
    </row>
    <row r="274" spans="1:13" ht="31.5" x14ac:dyDescent="0.25">
      <c r="A274" s="5" t="s">
        <v>405</v>
      </c>
      <c r="B274" s="5" t="s">
        <v>428</v>
      </c>
      <c r="C274" s="5">
        <v>1</v>
      </c>
      <c r="D274" s="5">
        <v>12848</v>
      </c>
      <c r="E274" s="5" t="s">
        <v>429</v>
      </c>
      <c r="F274" s="3">
        <v>381600</v>
      </c>
      <c r="G274" s="3" t="s">
        <v>627</v>
      </c>
      <c r="H274" s="3" t="s">
        <v>628</v>
      </c>
      <c r="I274" s="6" t="s">
        <v>582</v>
      </c>
      <c r="J274" s="3" t="s">
        <v>700</v>
      </c>
      <c r="K274" s="7">
        <f>ROUND(8719,2)</f>
        <v>8719</v>
      </c>
      <c r="L274" s="5">
        <v>300300</v>
      </c>
      <c r="M274" s="5">
        <v>11285</v>
      </c>
    </row>
    <row r="275" spans="1:13" ht="31.5" x14ac:dyDescent="0.25">
      <c r="A275" s="5" t="s">
        <v>423</v>
      </c>
      <c r="B275" s="5" t="s">
        <v>430</v>
      </c>
      <c r="C275" s="5">
        <v>1</v>
      </c>
      <c r="D275" s="5">
        <v>5788</v>
      </c>
      <c r="E275" s="5" t="s">
        <v>431</v>
      </c>
      <c r="F275" s="3">
        <f>VLOOKUP(L263,'[1]GL Lookups'!$A:$E,5,FALSE)</f>
        <v>210000</v>
      </c>
      <c r="G275" s="3" t="s">
        <v>600</v>
      </c>
      <c r="H275" s="3" t="s">
        <v>576</v>
      </c>
      <c r="I275" s="4" t="s">
        <v>588</v>
      </c>
      <c r="J275" s="3" t="s">
        <v>689</v>
      </c>
      <c r="K275" s="7">
        <f>ROUND(456415,2)</f>
        <v>456415</v>
      </c>
      <c r="L275" s="5">
        <v>200311</v>
      </c>
      <c r="M275" s="5" t="s">
        <v>432</v>
      </c>
    </row>
    <row r="276" spans="1:13" ht="31.5" x14ac:dyDescent="0.25">
      <c r="A276" s="5" t="s">
        <v>423</v>
      </c>
      <c r="B276" s="5" t="s">
        <v>433</v>
      </c>
      <c r="C276" s="5">
        <v>1</v>
      </c>
      <c r="D276" s="5">
        <v>16871</v>
      </c>
      <c r="E276" s="5" t="s">
        <v>434</v>
      </c>
      <c r="F276" s="3">
        <v>390000</v>
      </c>
      <c r="G276" s="3" t="s">
        <v>585</v>
      </c>
      <c r="H276" s="3" t="s">
        <v>586</v>
      </c>
      <c r="I276" s="6" t="s">
        <v>582</v>
      </c>
      <c r="J276" s="3" t="s">
        <v>701</v>
      </c>
      <c r="K276" s="7">
        <f>ROUND(9176.86,2)</f>
        <v>9176.86</v>
      </c>
      <c r="L276" s="5">
        <v>200123</v>
      </c>
      <c r="M276" s="5">
        <v>11378</v>
      </c>
    </row>
    <row r="277" spans="1:13" ht="31.5" x14ac:dyDescent="0.25">
      <c r="A277" s="5" t="s">
        <v>374</v>
      </c>
      <c r="B277" s="5" t="s">
        <v>426</v>
      </c>
      <c r="C277" s="5">
        <v>1</v>
      </c>
      <c r="D277" s="5">
        <v>3529</v>
      </c>
      <c r="E277" s="5" t="s">
        <v>12</v>
      </c>
      <c r="F277" s="3">
        <v>390000</v>
      </c>
      <c r="G277" s="3" t="s">
        <v>585</v>
      </c>
      <c r="H277" s="3" t="s">
        <v>586</v>
      </c>
      <c r="I277" s="6" t="s">
        <v>582</v>
      </c>
      <c r="J277" s="3" t="s">
        <v>702</v>
      </c>
      <c r="K277" s="7">
        <f>ROUND(5252,2)</f>
        <v>5252</v>
      </c>
      <c r="L277" s="5">
        <v>200123</v>
      </c>
      <c r="M277" s="5">
        <v>11996</v>
      </c>
    </row>
    <row r="278" spans="1:13" ht="31.5" x14ac:dyDescent="0.25">
      <c r="A278" s="5" t="s">
        <v>374</v>
      </c>
      <c r="B278" s="5" t="s">
        <v>406</v>
      </c>
      <c r="C278" s="5">
        <v>1</v>
      </c>
      <c r="D278" s="5">
        <v>3102</v>
      </c>
      <c r="E278" s="5" t="s">
        <v>407</v>
      </c>
      <c r="F278" s="3">
        <f>VLOOKUP(L266,'[1]GL Lookups'!$A:$E,5,FALSE)</f>
        <v>181800</v>
      </c>
      <c r="G278" s="3" t="s">
        <v>575</v>
      </c>
      <c r="H278" s="3" t="s">
        <v>576</v>
      </c>
      <c r="I278" s="4" t="s">
        <v>588</v>
      </c>
      <c r="J278" s="3" t="s">
        <v>695</v>
      </c>
      <c r="K278" s="7">
        <f>ROUND(5000,2)</f>
        <v>5000</v>
      </c>
      <c r="L278" s="5">
        <v>401016</v>
      </c>
      <c r="M278" s="5" t="s">
        <v>408</v>
      </c>
    </row>
    <row r="279" spans="1:13" ht="15.75" x14ac:dyDescent="0.25">
      <c r="A279" s="5" t="s">
        <v>374</v>
      </c>
      <c r="B279" s="5" t="s">
        <v>385</v>
      </c>
      <c r="C279" s="5">
        <v>1</v>
      </c>
      <c r="D279" s="5">
        <v>814</v>
      </c>
      <c r="E279" s="5" t="s">
        <v>70</v>
      </c>
      <c r="F279" s="3">
        <v>370000</v>
      </c>
      <c r="G279" s="3" t="s">
        <v>593</v>
      </c>
      <c r="H279" s="3" t="s">
        <v>594</v>
      </c>
      <c r="I279" s="6" t="s">
        <v>582</v>
      </c>
      <c r="J279" s="3" t="s">
        <v>703</v>
      </c>
      <c r="K279" s="7">
        <f>ROUND(10190.99,2)</f>
        <v>10190.99</v>
      </c>
      <c r="L279" s="5">
        <v>201004</v>
      </c>
      <c r="M279" s="5">
        <v>10098</v>
      </c>
    </row>
    <row r="280" spans="1:13" ht="47.25" x14ac:dyDescent="0.25">
      <c r="A280" s="5" t="s">
        <v>374</v>
      </c>
      <c r="B280" s="5" t="s">
        <v>382</v>
      </c>
      <c r="C280" s="5">
        <v>1</v>
      </c>
      <c r="D280" s="5">
        <v>8002</v>
      </c>
      <c r="E280" s="5" t="s">
        <v>383</v>
      </c>
      <c r="F280" s="3">
        <f>VLOOKUP(L268,'[1]GL Lookups'!$A:$E,5,FALSE)</f>
        <v>270000</v>
      </c>
      <c r="G280" s="3" t="s">
        <v>578</v>
      </c>
      <c r="H280" s="3" t="s">
        <v>579</v>
      </c>
      <c r="I280" s="4" t="s">
        <v>582</v>
      </c>
      <c r="J280" s="3" t="s">
        <v>675</v>
      </c>
      <c r="K280" s="7">
        <f>ROUND(398000,2)</f>
        <v>398000</v>
      </c>
      <c r="L280" s="5">
        <v>401007</v>
      </c>
      <c r="M280" s="5" t="s">
        <v>38</v>
      </c>
    </row>
    <row r="281" spans="1:13" ht="31.5" x14ac:dyDescent="0.25">
      <c r="A281" s="5" t="s">
        <v>293</v>
      </c>
      <c r="B281" s="5" t="s">
        <v>443</v>
      </c>
      <c r="C281" s="5">
        <v>1</v>
      </c>
      <c r="D281" s="5">
        <v>16872</v>
      </c>
      <c r="E281" s="5" t="s">
        <v>444</v>
      </c>
      <c r="F281" s="3">
        <v>390000</v>
      </c>
      <c r="G281" s="3" t="s">
        <v>585</v>
      </c>
      <c r="H281" s="3" t="s">
        <v>586</v>
      </c>
      <c r="I281" s="6" t="s">
        <v>582</v>
      </c>
      <c r="J281" s="3" t="s">
        <v>704</v>
      </c>
      <c r="K281" s="7">
        <f>ROUND(9262.2,2)</f>
        <v>9262.2000000000007</v>
      </c>
      <c r="L281" s="5">
        <v>200123</v>
      </c>
      <c r="M281" s="5">
        <v>11289</v>
      </c>
    </row>
    <row r="282" spans="1:13" ht="31.5" x14ac:dyDescent="0.25">
      <c r="A282" s="5" t="s">
        <v>293</v>
      </c>
      <c r="B282" s="5" t="s">
        <v>442</v>
      </c>
      <c r="C282" s="5">
        <v>1</v>
      </c>
      <c r="D282" s="5">
        <v>4708</v>
      </c>
      <c r="E282" s="5" t="s">
        <v>28</v>
      </c>
      <c r="F282" s="3">
        <v>390000</v>
      </c>
      <c r="G282" s="3" t="s">
        <v>585</v>
      </c>
      <c r="H282" s="3" t="s">
        <v>586</v>
      </c>
      <c r="I282" s="6" t="s">
        <v>582</v>
      </c>
      <c r="J282" s="3" t="s">
        <v>701</v>
      </c>
      <c r="K282" s="7">
        <f>ROUND(5063.56,2)</f>
        <v>5063.5600000000004</v>
      </c>
      <c r="L282" s="5">
        <v>200123</v>
      </c>
      <c r="M282" s="5">
        <v>11378</v>
      </c>
    </row>
    <row r="283" spans="1:13" ht="31.5" x14ac:dyDescent="0.25">
      <c r="A283" s="5" t="s">
        <v>293</v>
      </c>
      <c r="B283" s="5" t="s">
        <v>440</v>
      </c>
      <c r="C283" s="5">
        <v>1</v>
      </c>
      <c r="D283" s="5">
        <v>2479</v>
      </c>
      <c r="E283" s="5" t="s">
        <v>394</v>
      </c>
      <c r="F283" s="3">
        <v>390000</v>
      </c>
      <c r="G283" s="3" t="s">
        <v>585</v>
      </c>
      <c r="H283" s="3" t="s">
        <v>586</v>
      </c>
      <c r="I283" s="6" t="s">
        <v>582</v>
      </c>
      <c r="J283" s="3" t="s">
        <v>701</v>
      </c>
      <c r="K283" s="7">
        <f>ROUND(7134,2)</f>
        <v>7134</v>
      </c>
      <c r="L283" s="5">
        <v>200123</v>
      </c>
      <c r="M283" s="5">
        <v>11378</v>
      </c>
    </row>
    <row r="284" spans="1:13" ht="31.5" x14ac:dyDescent="0.25">
      <c r="A284" s="5" t="s">
        <v>293</v>
      </c>
      <c r="B284" s="5" t="s">
        <v>438</v>
      </c>
      <c r="C284" s="5">
        <v>1</v>
      </c>
      <c r="D284" s="5">
        <v>4708</v>
      </c>
      <c r="E284" s="5" t="s">
        <v>28</v>
      </c>
      <c r="F284" s="3">
        <v>390000</v>
      </c>
      <c r="G284" s="3" t="s">
        <v>585</v>
      </c>
      <c r="H284" s="3" t="s">
        <v>586</v>
      </c>
      <c r="I284" s="6" t="s">
        <v>582</v>
      </c>
      <c r="J284" s="3" t="s">
        <v>701</v>
      </c>
      <c r="K284" s="7">
        <f>ROUND(8241.99,2)</f>
        <v>8241.99</v>
      </c>
      <c r="L284" s="5">
        <v>200123</v>
      </c>
      <c r="M284" s="5">
        <v>11378</v>
      </c>
    </row>
    <row r="285" spans="1:13" ht="31.5" x14ac:dyDescent="0.25">
      <c r="A285" s="5" t="s">
        <v>293</v>
      </c>
      <c r="B285" s="5" t="s">
        <v>441</v>
      </c>
      <c r="C285" s="5">
        <v>1</v>
      </c>
      <c r="D285" s="5">
        <v>2479</v>
      </c>
      <c r="E285" s="5" t="s">
        <v>394</v>
      </c>
      <c r="F285" s="3">
        <v>390000</v>
      </c>
      <c r="G285" s="3" t="s">
        <v>585</v>
      </c>
      <c r="H285" s="3" t="s">
        <v>586</v>
      </c>
      <c r="I285" s="6" t="s">
        <v>582</v>
      </c>
      <c r="J285" s="3" t="s">
        <v>701</v>
      </c>
      <c r="K285" s="7">
        <f>ROUND(9810.5,2)</f>
        <v>9810.5</v>
      </c>
      <c r="L285" s="5">
        <v>200123</v>
      </c>
      <c r="M285" s="5">
        <v>11378</v>
      </c>
    </row>
    <row r="286" spans="1:13" ht="15.75" x14ac:dyDescent="0.25">
      <c r="A286" s="5" t="s">
        <v>293</v>
      </c>
      <c r="B286" s="5" t="s">
        <v>445</v>
      </c>
      <c r="C286" s="5">
        <v>1</v>
      </c>
      <c r="D286" s="5">
        <v>13860</v>
      </c>
      <c r="E286" s="5" t="s">
        <v>46</v>
      </c>
      <c r="F286" s="3">
        <v>260000</v>
      </c>
      <c r="G286" s="3" t="s">
        <v>604</v>
      </c>
      <c r="H286" s="3" t="s">
        <v>605</v>
      </c>
      <c r="I286" s="6" t="s">
        <v>582</v>
      </c>
      <c r="J286" s="3" t="s">
        <v>649</v>
      </c>
      <c r="K286" s="7">
        <f>ROUND(6300,2)</f>
        <v>6300</v>
      </c>
      <c r="L286" s="5">
        <v>100304</v>
      </c>
      <c r="M286" s="5">
        <v>12328</v>
      </c>
    </row>
    <row r="287" spans="1:13" ht="31.5" x14ac:dyDescent="0.25">
      <c r="A287" s="5" t="s">
        <v>344</v>
      </c>
      <c r="B287" s="5" t="s">
        <v>437</v>
      </c>
      <c r="C287" s="5">
        <v>1</v>
      </c>
      <c r="D287" s="5">
        <v>9992</v>
      </c>
      <c r="E287" s="5" t="s">
        <v>421</v>
      </c>
      <c r="F287" s="3">
        <v>150000</v>
      </c>
      <c r="G287" s="3" t="s">
        <v>601</v>
      </c>
      <c r="H287" s="3" t="s">
        <v>598</v>
      </c>
      <c r="I287" s="6" t="s">
        <v>626</v>
      </c>
      <c r="J287" s="3" t="s">
        <v>696</v>
      </c>
      <c r="K287" s="7">
        <f>ROUND(17687.5,2)</f>
        <v>17687.5</v>
      </c>
      <c r="L287" s="5">
        <v>401020</v>
      </c>
      <c r="M287" s="5">
        <v>12175</v>
      </c>
    </row>
    <row r="288" spans="1:13" ht="31.5" x14ac:dyDescent="0.25">
      <c r="A288" s="5" t="s">
        <v>344</v>
      </c>
      <c r="B288" s="5" t="s">
        <v>458</v>
      </c>
      <c r="C288" s="5">
        <v>1</v>
      </c>
      <c r="D288" s="5">
        <v>2039</v>
      </c>
      <c r="E288" s="5" t="s">
        <v>459</v>
      </c>
      <c r="F288" s="3">
        <v>320000</v>
      </c>
      <c r="G288" s="3" t="s">
        <v>595</v>
      </c>
      <c r="H288" s="3" t="s">
        <v>612</v>
      </c>
      <c r="I288" s="6" t="s">
        <v>577</v>
      </c>
      <c r="J288" s="3" t="s">
        <v>661</v>
      </c>
      <c r="K288" s="7">
        <f>ROUND(15116,2)</f>
        <v>15116</v>
      </c>
      <c r="L288" s="5">
        <v>402403</v>
      </c>
      <c r="M288" s="5">
        <v>12979</v>
      </c>
    </row>
    <row r="289" spans="1:13" ht="15.75" x14ac:dyDescent="0.25">
      <c r="A289" s="5" t="s">
        <v>344</v>
      </c>
      <c r="B289" s="5" t="s">
        <v>343</v>
      </c>
      <c r="C289" s="5">
        <v>1</v>
      </c>
      <c r="D289" s="5">
        <v>16830</v>
      </c>
      <c r="E289" s="5" t="s">
        <v>235</v>
      </c>
      <c r="F289" s="3">
        <v>150000</v>
      </c>
      <c r="G289" s="3" t="s">
        <v>601</v>
      </c>
      <c r="H289" s="3" t="s">
        <v>598</v>
      </c>
      <c r="I289" s="6" t="s">
        <v>588</v>
      </c>
      <c r="J289" s="3" t="s">
        <v>678</v>
      </c>
      <c r="K289" s="7">
        <f>ROUND(5972.72,2)</f>
        <v>5972.72</v>
      </c>
      <c r="L289" s="5">
        <v>401007</v>
      </c>
      <c r="M289" s="5">
        <v>13274</v>
      </c>
    </row>
    <row r="290" spans="1:13" ht="15.75" x14ac:dyDescent="0.25">
      <c r="A290" s="5" t="s">
        <v>362</v>
      </c>
      <c r="B290" s="5" t="s">
        <v>463</v>
      </c>
      <c r="C290" s="5">
        <v>1</v>
      </c>
      <c r="D290" s="5">
        <v>13249</v>
      </c>
      <c r="E290" s="5" t="s">
        <v>464</v>
      </c>
      <c r="F290" s="3">
        <v>260000</v>
      </c>
      <c r="G290" s="3" t="s">
        <v>604</v>
      </c>
      <c r="H290" s="3" t="s">
        <v>605</v>
      </c>
      <c r="I290" s="6" t="s">
        <v>588</v>
      </c>
      <c r="J290" s="3" t="s">
        <v>705</v>
      </c>
      <c r="K290" s="7">
        <f>ROUND(80348,2)</f>
        <v>80348</v>
      </c>
      <c r="L290" s="5">
        <v>100304</v>
      </c>
      <c r="M290" s="5">
        <v>12829</v>
      </c>
    </row>
    <row r="291" spans="1:13" ht="31.5" x14ac:dyDescent="0.25">
      <c r="A291" s="5" t="s">
        <v>362</v>
      </c>
      <c r="B291" s="5" t="s">
        <v>477</v>
      </c>
      <c r="C291" s="5">
        <v>1</v>
      </c>
      <c r="D291" s="5">
        <v>6693</v>
      </c>
      <c r="E291" s="5" t="s">
        <v>478</v>
      </c>
      <c r="F291" s="3">
        <v>181800</v>
      </c>
      <c r="G291" s="3" t="s">
        <v>575</v>
      </c>
      <c r="H291" s="3" t="s">
        <v>576</v>
      </c>
      <c r="I291" s="6" t="s">
        <v>582</v>
      </c>
      <c r="J291" s="3" t="s">
        <v>706</v>
      </c>
      <c r="K291" s="7">
        <f>ROUND(37995,2)</f>
        <v>37995</v>
      </c>
      <c r="L291" s="5">
        <v>400110</v>
      </c>
      <c r="M291" s="5">
        <v>11267</v>
      </c>
    </row>
    <row r="292" spans="1:13" ht="31.5" x14ac:dyDescent="0.25">
      <c r="A292" s="5" t="s">
        <v>373</v>
      </c>
      <c r="B292" s="5" t="s">
        <v>454</v>
      </c>
      <c r="C292" s="5">
        <v>1</v>
      </c>
      <c r="D292" s="5">
        <v>1342</v>
      </c>
      <c r="E292" s="5" t="s">
        <v>247</v>
      </c>
      <c r="F292" s="3">
        <v>182020</v>
      </c>
      <c r="G292" s="3" t="s">
        <v>602</v>
      </c>
      <c r="H292" s="3" t="s">
        <v>603</v>
      </c>
      <c r="I292" s="6" t="s">
        <v>582</v>
      </c>
      <c r="J292" s="3" t="s">
        <v>677</v>
      </c>
      <c r="K292" s="7">
        <f>ROUND(3373.5,2)</f>
        <v>3373.5</v>
      </c>
      <c r="L292" s="5">
        <v>400401</v>
      </c>
      <c r="M292" s="5">
        <v>10883</v>
      </c>
    </row>
    <row r="293" spans="1:13" ht="31.5" x14ac:dyDescent="0.25">
      <c r="A293" s="5" t="s">
        <v>373</v>
      </c>
      <c r="B293" s="5" t="s">
        <v>454</v>
      </c>
      <c r="C293" s="5">
        <v>2</v>
      </c>
      <c r="D293" s="5">
        <v>1342</v>
      </c>
      <c r="E293" s="5" t="s">
        <v>247</v>
      </c>
      <c r="F293" s="3">
        <v>182020</v>
      </c>
      <c r="G293" s="3" t="s">
        <v>602</v>
      </c>
      <c r="H293" s="3" t="s">
        <v>603</v>
      </c>
      <c r="I293" s="6" t="s">
        <v>582</v>
      </c>
      <c r="J293" s="3" t="s">
        <v>677</v>
      </c>
      <c r="K293" s="7">
        <f>ROUND(3373.5,2)</f>
        <v>3373.5</v>
      </c>
      <c r="L293" s="5">
        <v>400401</v>
      </c>
      <c r="M293" s="5">
        <v>10883</v>
      </c>
    </row>
    <row r="294" spans="1:13" ht="15.75" x14ac:dyDescent="0.25">
      <c r="A294" s="5" t="s">
        <v>373</v>
      </c>
      <c r="B294" s="5" t="s">
        <v>467</v>
      </c>
      <c r="C294" s="5">
        <v>1</v>
      </c>
      <c r="D294" s="5">
        <v>13223</v>
      </c>
      <c r="E294" s="5" t="s">
        <v>233</v>
      </c>
      <c r="F294" s="3">
        <v>260000</v>
      </c>
      <c r="G294" s="3" t="s">
        <v>604</v>
      </c>
      <c r="H294" s="3" t="s">
        <v>605</v>
      </c>
      <c r="I294" s="6" t="s">
        <v>582</v>
      </c>
      <c r="J294" s="3" t="s">
        <v>649</v>
      </c>
      <c r="K294" s="7">
        <f>ROUND(7469,2)</f>
        <v>7469</v>
      </c>
      <c r="L294" s="5">
        <v>100304</v>
      </c>
      <c r="M294" s="5">
        <v>12328</v>
      </c>
    </row>
    <row r="295" spans="1:13" ht="31.5" x14ac:dyDescent="0.25">
      <c r="A295" s="5" t="s">
        <v>373</v>
      </c>
      <c r="B295" s="5" t="s">
        <v>475</v>
      </c>
      <c r="C295" s="5">
        <v>1</v>
      </c>
      <c r="D295" s="5">
        <v>16823</v>
      </c>
      <c r="E295" s="5" t="s">
        <v>476</v>
      </c>
      <c r="F295" s="3">
        <v>181800</v>
      </c>
      <c r="G295" s="3" t="s">
        <v>575</v>
      </c>
      <c r="H295" s="3" t="s">
        <v>576</v>
      </c>
      <c r="I295" s="6" t="s">
        <v>577</v>
      </c>
      <c r="J295" s="3" t="s">
        <v>707</v>
      </c>
      <c r="K295" s="7">
        <f>ROUND(8573.5,2)</f>
        <v>8573.5</v>
      </c>
      <c r="L295" s="5">
        <v>400110</v>
      </c>
      <c r="M295" s="5">
        <v>11381</v>
      </c>
    </row>
    <row r="296" spans="1:13" ht="47.25" x14ac:dyDescent="0.25">
      <c r="A296" s="5" t="s">
        <v>373</v>
      </c>
      <c r="B296" s="5" t="s">
        <v>483</v>
      </c>
      <c r="C296" s="5">
        <v>1</v>
      </c>
      <c r="D296" s="5">
        <v>544</v>
      </c>
      <c r="E296" s="5" t="s">
        <v>59</v>
      </c>
      <c r="F296" s="3">
        <v>270000</v>
      </c>
      <c r="G296" s="3" t="s">
        <v>578</v>
      </c>
      <c r="H296" s="3" t="s">
        <v>579</v>
      </c>
      <c r="I296" s="6" t="s">
        <v>577</v>
      </c>
      <c r="J296" s="3" t="s">
        <v>708</v>
      </c>
      <c r="K296" s="7">
        <f>ROUND(2816.6,2)</f>
        <v>2816.6</v>
      </c>
      <c r="L296" s="5">
        <v>402001</v>
      </c>
      <c r="M296" s="5">
        <v>12503</v>
      </c>
    </row>
    <row r="297" spans="1:13" ht="47.25" x14ac:dyDescent="0.25">
      <c r="A297" s="5" t="s">
        <v>373</v>
      </c>
      <c r="B297" s="5" t="s">
        <v>483</v>
      </c>
      <c r="C297" s="5">
        <v>2</v>
      </c>
      <c r="D297" s="5">
        <v>544</v>
      </c>
      <c r="E297" s="5" t="s">
        <v>59</v>
      </c>
      <c r="F297" s="3">
        <v>270000</v>
      </c>
      <c r="G297" s="3" t="s">
        <v>578</v>
      </c>
      <c r="H297" s="3" t="s">
        <v>579</v>
      </c>
      <c r="I297" s="6" t="s">
        <v>577</v>
      </c>
      <c r="J297" s="3" t="s">
        <v>708</v>
      </c>
      <c r="K297" s="7">
        <f>ROUND(97201.44,2)</f>
        <v>97201.44</v>
      </c>
      <c r="L297" s="5">
        <v>402001</v>
      </c>
      <c r="M297" s="5">
        <v>12503</v>
      </c>
    </row>
    <row r="298" spans="1:13" ht="47.25" x14ac:dyDescent="0.25">
      <c r="A298" s="5" t="s">
        <v>373</v>
      </c>
      <c r="B298" s="5" t="s">
        <v>483</v>
      </c>
      <c r="C298" s="5">
        <v>3</v>
      </c>
      <c r="D298" s="5">
        <v>544</v>
      </c>
      <c r="E298" s="5" t="s">
        <v>59</v>
      </c>
      <c r="F298" s="3">
        <v>270000</v>
      </c>
      <c r="G298" s="3" t="s">
        <v>578</v>
      </c>
      <c r="H298" s="3" t="s">
        <v>579</v>
      </c>
      <c r="I298" s="6" t="s">
        <v>577</v>
      </c>
      <c r="J298" s="3" t="s">
        <v>708</v>
      </c>
      <c r="K298" s="7">
        <f>ROUND(1410.48,2)</f>
        <v>1410.48</v>
      </c>
      <c r="L298" s="5">
        <v>402001</v>
      </c>
      <c r="M298" s="5">
        <v>12503</v>
      </c>
    </row>
    <row r="299" spans="1:13" ht="47.25" x14ac:dyDescent="0.25">
      <c r="A299" s="5" t="s">
        <v>373</v>
      </c>
      <c r="B299" s="5" t="s">
        <v>483</v>
      </c>
      <c r="C299" s="5">
        <v>4</v>
      </c>
      <c r="D299" s="5">
        <v>544</v>
      </c>
      <c r="E299" s="5" t="s">
        <v>59</v>
      </c>
      <c r="F299" s="3">
        <v>270000</v>
      </c>
      <c r="G299" s="3" t="s">
        <v>578</v>
      </c>
      <c r="H299" s="3" t="s">
        <v>579</v>
      </c>
      <c r="I299" s="6" t="s">
        <v>577</v>
      </c>
      <c r="J299" s="3" t="s">
        <v>708</v>
      </c>
      <c r="K299" s="7">
        <f>ROUND(36998.24,2)</f>
        <v>36998.239999999998</v>
      </c>
      <c r="L299" s="5">
        <v>402001</v>
      </c>
      <c r="M299" s="5">
        <v>12503</v>
      </c>
    </row>
    <row r="300" spans="1:13" ht="47.25" x14ac:dyDescent="0.25">
      <c r="A300" s="5" t="s">
        <v>373</v>
      </c>
      <c r="B300" s="5" t="s">
        <v>483</v>
      </c>
      <c r="C300" s="5">
        <v>5</v>
      </c>
      <c r="D300" s="5">
        <v>544</v>
      </c>
      <c r="E300" s="5" t="s">
        <v>59</v>
      </c>
      <c r="F300" s="3">
        <v>270000</v>
      </c>
      <c r="G300" s="3" t="s">
        <v>578</v>
      </c>
      <c r="H300" s="3" t="s">
        <v>579</v>
      </c>
      <c r="I300" s="6" t="s">
        <v>577</v>
      </c>
      <c r="J300" s="3" t="s">
        <v>708</v>
      </c>
      <c r="K300" s="7">
        <f>ROUND(475,2)</f>
        <v>475</v>
      </c>
      <c r="L300" s="5">
        <v>402001</v>
      </c>
      <c r="M300" s="5">
        <v>12503</v>
      </c>
    </row>
    <row r="301" spans="1:13" ht="47.25" x14ac:dyDescent="0.25">
      <c r="A301" s="5" t="s">
        <v>373</v>
      </c>
      <c r="B301" s="5" t="s">
        <v>483</v>
      </c>
      <c r="C301" s="5">
        <v>6</v>
      </c>
      <c r="D301" s="5">
        <v>544</v>
      </c>
      <c r="E301" s="5" t="s">
        <v>59</v>
      </c>
      <c r="F301" s="3">
        <v>270000</v>
      </c>
      <c r="G301" s="3" t="s">
        <v>578</v>
      </c>
      <c r="H301" s="3" t="s">
        <v>579</v>
      </c>
      <c r="I301" s="6" t="s">
        <v>577</v>
      </c>
      <c r="J301" s="3" t="s">
        <v>708</v>
      </c>
      <c r="K301" s="7">
        <f>ROUND(25593.5,2)</f>
        <v>25593.5</v>
      </c>
      <c r="L301" s="5">
        <v>402001</v>
      </c>
      <c r="M301" s="5">
        <v>12503</v>
      </c>
    </row>
    <row r="302" spans="1:13" ht="47.25" x14ac:dyDescent="0.25">
      <c r="A302" s="5" t="s">
        <v>373</v>
      </c>
      <c r="B302" s="5" t="s">
        <v>483</v>
      </c>
      <c r="C302" s="5">
        <v>7</v>
      </c>
      <c r="D302" s="5">
        <v>544</v>
      </c>
      <c r="E302" s="5" t="s">
        <v>59</v>
      </c>
      <c r="F302" s="3">
        <v>270000</v>
      </c>
      <c r="G302" s="3" t="s">
        <v>578</v>
      </c>
      <c r="H302" s="3" t="s">
        <v>579</v>
      </c>
      <c r="I302" s="6" t="s">
        <v>577</v>
      </c>
      <c r="J302" s="3" t="s">
        <v>708</v>
      </c>
      <c r="K302" s="7">
        <f>ROUND(9028,2)</f>
        <v>9028</v>
      </c>
      <c r="L302" s="5">
        <v>402001</v>
      </c>
      <c r="M302" s="5">
        <v>12503</v>
      </c>
    </row>
    <row r="303" spans="1:13" ht="47.25" x14ac:dyDescent="0.25">
      <c r="A303" s="5" t="s">
        <v>373</v>
      </c>
      <c r="B303" s="5" t="s">
        <v>483</v>
      </c>
      <c r="C303" s="5">
        <v>8</v>
      </c>
      <c r="D303" s="5">
        <v>544</v>
      </c>
      <c r="E303" s="5" t="s">
        <v>59</v>
      </c>
      <c r="F303" s="3">
        <v>270000</v>
      </c>
      <c r="G303" s="3" t="s">
        <v>578</v>
      </c>
      <c r="H303" s="3" t="s">
        <v>579</v>
      </c>
      <c r="I303" s="6" t="s">
        <v>577</v>
      </c>
      <c r="J303" s="3" t="s">
        <v>708</v>
      </c>
      <c r="K303" s="7">
        <f>ROUND(37.58,2)</f>
        <v>37.58</v>
      </c>
      <c r="L303" s="5">
        <v>402001</v>
      </c>
      <c r="M303" s="5">
        <v>12503</v>
      </c>
    </row>
    <row r="304" spans="1:13" ht="47.25" x14ac:dyDescent="0.25">
      <c r="A304" s="5" t="s">
        <v>373</v>
      </c>
      <c r="B304" s="5" t="s">
        <v>483</v>
      </c>
      <c r="C304" s="5">
        <v>9</v>
      </c>
      <c r="D304" s="5">
        <v>544</v>
      </c>
      <c r="E304" s="5" t="s">
        <v>59</v>
      </c>
      <c r="F304" s="3">
        <v>270000</v>
      </c>
      <c r="G304" s="3" t="s">
        <v>578</v>
      </c>
      <c r="H304" s="3" t="s">
        <v>579</v>
      </c>
      <c r="I304" s="6" t="s">
        <v>577</v>
      </c>
      <c r="J304" s="3" t="s">
        <v>708</v>
      </c>
      <c r="K304" s="7">
        <f>ROUND(4131.25,2)</f>
        <v>4131.25</v>
      </c>
      <c r="L304" s="5">
        <v>402001</v>
      </c>
      <c r="M304" s="5">
        <v>12503</v>
      </c>
    </row>
    <row r="305" spans="1:13" ht="47.25" x14ac:dyDescent="0.25">
      <c r="A305" s="5" t="s">
        <v>373</v>
      </c>
      <c r="B305" s="5" t="s">
        <v>483</v>
      </c>
      <c r="C305" s="5">
        <v>10</v>
      </c>
      <c r="D305" s="5">
        <v>544</v>
      </c>
      <c r="E305" s="5" t="s">
        <v>59</v>
      </c>
      <c r="F305" s="3">
        <v>270000</v>
      </c>
      <c r="G305" s="3" t="s">
        <v>578</v>
      </c>
      <c r="H305" s="3" t="s">
        <v>579</v>
      </c>
      <c r="I305" s="6" t="s">
        <v>577</v>
      </c>
      <c r="J305" s="3" t="s">
        <v>708</v>
      </c>
      <c r="K305" s="7">
        <f>ROUND(14678.95,2)</f>
        <v>14678.95</v>
      </c>
      <c r="L305" s="5">
        <v>402001</v>
      </c>
      <c r="M305" s="5">
        <v>12503</v>
      </c>
    </row>
    <row r="306" spans="1:13" ht="47.25" x14ac:dyDescent="0.25">
      <c r="A306" s="5" t="s">
        <v>373</v>
      </c>
      <c r="B306" s="5" t="s">
        <v>483</v>
      </c>
      <c r="C306" s="5">
        <v>11</v>
      </c>
      <c r="D306" s="5">
        <v>544</v>
      </c>
      <c r="E306" s="5" t="s">
        <v>59</v>
      </c>
      <c r="F306" s="3">
        <v>270000</v>
      </c>
      <c r="G306" s="3" t="s">
        <v>578</v>
      </c>
      <c r="H306" s="3" t="s">
        <v>579</v>
      </c>
      <c r="I306" s="6" t="s">
        <v>577</v>
      </c>
      <c r="J306" s="3" t="s">
        <v>708</v>
      </c>
      <c r="K306" s="7">
        <f>ROUND(2658.4,2)</f>
        <v>2658.4</v>
      </c>
      <c r="L306" s="5">
        <v>402001</v>
      </c>
      <c r="M306" s="5">
        <v>12503</v>
      </c>
    </row>
    <row r="307" spans="1:13" ht="47.25" x14ac:dyDescent="0.25">
      <c r="A307" s="5" t="s">
        <v>373</v>
      </c>
      <c r="B307" s="5" t="s">
        <v>483</v>
      </c>
      <c r="C307" s="5">
        <v>12</v>
      </c>
      <c r="D307" s="5">
        <v>544</v>
      </c>
      <c r="E307" s="5" t="s">
        <v>59</v>
      </c>
      <c r="F307" s="3">
        <v>270000</v>
      </c>
      <c r="G307" s="3" t="s">
        <v>578</v>
      </c>
      <c r="H307" s="3" t="s">
        <v>579</v>
      </c>
      <c r="I307" s="6" t="s">
        <v>577</v>
      </c>
      <c r="J307" s="3" t="s">
        <v>708</v>
      </c>
      <c r="K307" s="7">
        <f>ROUND(7382.7,2)</f>
        <v>7382.7</v>
      </c>
      <c r="L307" s="5">
        <v>402001</v>
      </c>
      <c r="M307" s="5">
        <v>12503</v>
      </c>
    </row>
    <row r="308" spans="1:13" ht="47.25" x14ac:dyDescent="0.25">
      <c r="A308" s="5" t="s">
        <v>373</v>
      </c>
      <c r="B308" s="5" t="s">
        <v>483</v>
      </c>
      <c r="C308" s="5">
        <v>13</v>
      </c>
      <c r="D308" s="5">
        <v>544</v>
      </c>
      <c r="E308" s="5" t="s">
        <v>59</v>
      </c>
      <c r="F308" s="3">
        <v>270000</v>
      </c>
      <c r="G308" s="3" t="s">
        <v>578</v>
      </c>
      <c r="H308" s="3" t="s">
        <v>579</v>
      </c>
      <c r="I308" s="6" t="s">
        <v>577</v>
      </c>
      <c r="J308" s="3" t="s">
        <v>708</v>
      </c>
      <c r="K308" s="7">
        <f>ROUND(80.28,2)</f>
        <v>80.28</v>
      </c>
      <c r="L308" s="5">
        <v>402001</v>
      </c>
      <c r="M308" s="5">
        <v>12503</v>
      </c>
    </row>
    <row r="309" spans="1:13" ht="47.25" x14ac:dyDescent="0.25">
      <c r="A309" s="5" t="s">
        <v>373</v>
      </c>
      <c r="B309" s="5" t="s">
        <v>483</v>
      </c>
      <c r="C309" s="5">
        <v>14</v>
      </c>
      <c r="D309" s="5">
        <v>544</v>
      </c>
      <c r="E309" s="5" t="s">
        <v>59</v>
      </c>
      <c r="F309" s="3">
        <v>270000</v>
      </c>
      <c r="G309" s="3" t="s">
        <v>578</v>
      </c>
      <c r="H309" s="3" t="s">
        <v>579</v>
      </c>
      <c r="I309" s="6" t="s">
        <v>577</v>
      </c>
      <c r="J309" s="3" t="s">
        <v>708</v>
      </c>
      <c r="K309" s="7">
        <f>ROUND(2107.7,2)</f>
        <v>2107.6999999999998</v>
      </c>
      <c r="L309" s="5">
        <v>402001</v>
      </c>
      <c r="M309" s="5">
        <v>12503</v>
      </c>
    </row>
    <row r="310" spans="1:13" ht="47.25" x14ac:dyDescent="0.25">
      <c r="A310" s="5" t="s">
        <v>373</v>
      </c>
      <c r="B310" s="5" t="s">
        <v>483</v>
      </c>
      <c r="C310" s="5">
        <v>15</v>
      </c>
      <c r="D310" s="5">
        <v>544</v>
      </c>
      <c r="E310" s="5" t="s">
        <v>59</v>
      </c>
      <c r="F310" s="3">
        <v>270000</v>
      </c>
      <c r="G310" s="3" t="s">
        <v>578</v>
      </c>
      <c r="H310" s="3" t="s">
        <v>579</v>
      </c>
      <c r="I310" s="6" t="s">
        <v>577</v>
      </c>
      <c r="J310" s="3" t="s">
        <v>708</v>
      </c>
      <c r="K310" s="7">
        <f>ROUND(1342123.15,2)</f>
        <v>1342123.1499999999</v>
      </c>
      <c r="L310" s="5">
        <v>402001</v>
      </c>
      <c r="M310" s="5">
        <v>12503</v>
      </c>
    </row>
    <row r="311" spans="1:13" ht="47.25" x14ac:dyDescent="0.25">
      <c r="A311" s="5" t="s">
        <v>373</v>
      </c>
      <c r="B311" s="5" t="s">
        <v>483</v>
      </c>
      <c r="C311" s="5">
        <v>16</v>
      </c>
      <c r="D311" s="5">
        <v>544</v>
      </c>
      <c r="E311" s="5" t="s">
        <v>59</v>
      </c>
      <c r="F311" s="3">
        <v>270000</v>
      </c>
      <c r="G311" s="3" t="s">
        <v>578</v>
      </c>
      <c r="H311" s="3" t="s">
        <v>579</v>
      </c>
      <c r="I311" s="6" t="s">
        <v>577</v>
      </c>
      <c r="J311" s="3" t="s">
        <v>708</v>
      </c>
      <c r="K311" s="7">
        <f>ROUND(7527.5,2)</f>
        <v>7527.5</v>
      </c>
      <c r="L311" s="5">
        <v>402001</v>
      </c>
      <c r="M311" s="5">
        <v>12503</v>
      </c>
    </row>
    <row r="312" spans="1:13" ht="47.25" x14ac:dyDescent="0.25">
      <c r="A312" s="5" t="s">
        <v>373</v>
      </c>
      <c r="B312" s="5" t="s">
        <v>483</v>
      </c>
      <c r="C312" s="5">
        <v>17</v>
      </c>
      <c r="D312" s="5">
        <v>544</v>
      </c>
      <c r="E312" s="5" t="s">
        <v>59</v>
      </c>
      <c r="F312" s="3">
        <v>270000</v>
      </c>
      <c r="G312" s="3" t="s">
        <v>578</v>
      </c>
      <c r="H312" s="3" t="s">
        <v>579</v>
      </c>
      <c r="I312" s="6" t="s">
        <v>577</v>
      </c>
      <c r="J312" s="3" t="s">
        <v>708</v>
      </c>
      <c r="K312" s="7">
        <f>ROUND(30098.5,2)</f>
        <v>30098.5</v>
      </c>
      <c r="L312" s="5">
        <v>402001</v>
      </c>
      <c r="M312" s="5">
        <v>12503</v>
      </c>
    </row>
    <row r="313" spans="1:13" ht="47.25" x14ac:dyDescent="0.25">
      <c r="A313" s="5" t="s">
        <v>373</v>
      </c>
      <c r="B313" s="5" t="s">
        <v>483</v>
      </c>
      <c r="C313" s="5">
        <v>18</v>
      </c>
      <c r="D313" s="5">
        <v>544</v>
      </c>
      <c r="E313" s="5" t="s">
        <v>59</v>
      </c>
      <c r="F313" s="3">
        <v>270000</v>
      </c>
      <c r="G313" s="3" t="s">
        <v>578</v>
      </c>
      <c r="H313" s="3" t="s">
        <v>579</v>
      </c>
      <c r="I313" s="6" t="s">
        <v>577</v>
      </c>
      <c r="J313" s="3" t="s">
        <v>708</v>
      </c>
      <c r="K313" s="7">
        <f>ROUND(7179,2)</f>
        <v>7179</v>
      </c>
      <c r="L313" s="5">
        <v>402001</v>
      </c>
      <c r="M313" s="5">
        <v>12503</v>
      </c>
    </row>
    <row r="314" spans="1:13" ht="47.25" x14ac:dyDescent="0.25">
      <c r="A314" s="5" t="s">
        <v>373</v>
      </c>
      <c r="B314" s="5" t="s">
        <v>483</v>
      </c>
      <c r="C314" s="5">
        <v>19</v>
      </c>
      <c r="D314" s="5">
        <v>544</v>
      </c>
      <c r="E314" s="5" t="s">
        <v>59</v>
      </c>
      <c r="F314" s="3">
        <v>270000</v>
      </c>
      <c r="G314" s="3" t="s">
        <v>578</v>
      </c>
      <c r="H314" s="3" t="s">
        <v>579</v>
      </c>
      <c r="I314" s="6" t="s">
        <v>577</v>
      </c>
      <c r="J314" s="3" t="s">
        <v>708</v>
      </c>
      <c r="K314" s="7">
        <f>ROUND(212050.8,2)</f>
        <v>212050.8</v>
      </c>
      <c r="L314" s="5">
        <v>402001</v>
      </c>
      <c r="M314" s="5">
        <v>12503</v>
      </c>
    </row>
    <row r="315" spans="1:13" ht="47.25" x14ac:dyDescent="0.25">
      <c r="A315" s="5" t="s">
        <v>373</v>
      </c>
      <c r="B315" s="5" t="s">
        <v>483</v>
      </c>
      <c r="C315" s="5">
        <v>20</v>
      </c>
      <c r="D315" s="5">
        <v>544</v>
      </c>
      <c r="E315" s="5" t="s">
        <v>59</v>
      </c>
      <c r="F315" s="3">
        <v>270000</v>
      </c>
      <c r="G315" s="3" t="s">
        <v>578</v>
      </c>
      <c r="H315" s="3" t="s">
        <v>579</v>
      </c>
      <c r="I315" s="6" t="s">
        <v>577</v>
      </c>
      <c r="J315" s="3" t="s">
        <v>708</v>
      </c>
      <c r="K315" s="7">
        <f>ROUND(1004.13,2)</f>
        <v>1004.13</v>
      </c>
      <c r="L315" s="5">
        <v>402001</v>
      </c>
      <c r="M315" s="5">
        <v>12503</v>
      </c>
    </row>
    <row r="316" spans="1:13" ht="47.25" x14ac:dyDescent="0.25">
      <c r="A316" s="5" t="s">
        <v>373</v>
      </c>
      <c r="B316" s="5" t="s">
        <v>483</v>
      </c>
      <c r="C316" s="5">
        <v>21</v>
      </c>
      <c r="D316" s="5">
        <v>544</v>
      </c>
      <c r="E316" s="5" t="s">
        <v>59</v>
      </c>
      <c r="F316" s="3">
        <v>270000</v>
      </c>
      <c r="G316" s="3" t="s">
        <v>578</v>
      </c>
      <c r="H316" s="3" t="s">
        <v>579</v>
      </c>
      <c r="I316" s="6" t="s">
        <v>577</v>
      </c>
      <c r="J316" s="3" t="s">
        <v>708</v>
      </c>
      <c r="K316" s="7">
        <f>ROUND(90,2)</f>
        <v>90</v>
      </c>
      <c r="L316" s="5">
        <v>402001</v>
      </c>
      <c r="M316" s="5">
        <v>12503</v>
      </c>
    </row>
    <row r="317" spans="1:13" ht="47.25" x14ac:dyDescent="0.25">
      <c r="A317" s="5" t="s">
        <v>373</v>
      </c>
      <c r="B317" s="5" t="s">
        <v>483</v>
      </c>
      <c r="C317" s="5">
        <v>22</v>
      </c>
      <c r="D317" s="5">
        <v>544</v>
      </c>
      <c r="E317" s="5" t="s">
        <v>59</v>
      </c>
      <c r="F317" s="3">
        <v>270000</v>
      </c>
      <c r="G317" s="3" t="s">
        <v>578</v>
      </c>
      <c r="H317" s="3" t="s">
        <v>579</v>
      </c>
      <c r="I317" s="6" t="s">
        <v>577</v>
      </c>
      <c r="J317" s="3" t="s">
        <v>708</v>
      </c>
      <c r="K317" s="7">
        <f>ROUND(25489.8,2)</f>
        <v>25489.8</v>
      </c>
      <c r="L317" s="5">
        <v>402001</v>
      </c>
      <c r="M317" s="5">
        <v>12503</v>
      </c>
    </row>
    <row r="318" spans="1:13" ht="47.25" x14ac:dyDescent="0.25">
      <c r="A318" s="5" t="s">
        <v>373</v>
      </c>
      <c r="B318" s="5" t="s">
        <v>483</v>
      </c>
      <c r="C318" s="5">
        <v>23</v>
      </c>
      <c r="D318" s="5">
        <v>544</v>
      </c>
      <c r="E318" s="5" t="s">
        <v>59</v>
      </c>
      <c r="F318" s="3">
        <v>270000</v>
      </c>
      <c r="G318" s="3" t="s">
        <v>578</v>
      </c>
      <c r="H318" s="3" t="s">
        <v>579</v>
      </c>
      <c r="I318" s="6" t="s">
        <v>577</v>
      </c>
      <c r="J318" s="3" t="s">
        <v>708</v>
      </c>
      <c r="K318" s="7">
        <f>ROUND(14820,2)</f>
        <v>14820</v>
      </c>
      <c r="L318" s="5">
        <v>402001</v>
      </c>
      <c r="M318" s="5">
        <v>12503</v>
      </c>
    </row>
    <row r="319" spans="1:13" ht="47.25" x14ac:dyDescent="0.25">
      <c r="A319" s="5" t="s">
        <v>460</v>
      </c>
      <c r="B319" s="5" t="s">
        <v>485</v>
      </c>
      <c r="C319" s="5">
        <v>1</v>
      </c>
      <c r="D319" s="5">
        <v>5915</v>
      </c>
      <c r="E319" s="5" t="s">
        <v>4</v>
      </c>
      <c r="F319" s="3">
        <f>VLOOKUP(L307,'[1]GL Lookups'!$A:$E,5,FALSE)</f>
        <v>270000</v>
      </c>
      <c r="G319" s="3" t="s">
        <v>578</v>
      </c>
      <c r="H319" s="3" t="s">
        <v>579</v>
      </c>
      <c r="I319" s="4" t="s">
        <v>577</v>
      </c>
      <c r="J319" s="3" t="s">
        <v>708</v>
      </c>
      <c r="K319" s="7">
        <f>ROUND(5180.64,2)</f>
        <v>5180.6400000000003</v>
      </c>
      <c r="L319" s="5">
        <v>401600</v>
      </c>
      <c r="M319" s="5" t="s">
        <v>486</v>
      </c>
    </row>
    <row r="320" spans="1:13" ht="31.5" x14ac:dyDescent="0.25">
      <c r="A320" s="5" t="s">
        <v>460</v>
      </c>
      <c r="B320" s="5" t="s">
        <v>490</v>
      </c>
      <c r="C320" s="5">
        <v>1</v>
      </c>
      <c r="D320" s="5">
        <v>10289</v>
      </c>
      <c r="E320" s="5" t="s">
        <v>491</v>
      </c>
      <c r="F320" s="3">
        <v>320000</v>
      </c>
      <c r="G320" s="3" t="s">
        <v>595</v>
      </c>
      <c r="H320" s="3" t="s">
        <v>612</v>
      </c>
      <c r="I320" s="6" t="s">
        <v>588</v>
      </c>
      <c r="J320" s="3" t="s">
        <v>709</v>
      </c>
      <c r="K320" s="7">
        <f>ROUND(9999.99,2)</f>
        <v>9999.99</v>
      </c>
      <c r="L320" s="5">
        <v>500530</v>
      </c>
      <c r="M320" s="5">
        <v>12734</v>
      </c>
    </row>
    <row r="321" spans="1:13" ht="47.25" x14ac:dyDescent="0.25">
      <c r="A321" s="5" t="s">
        <v>460</v>
      </c>
      <c r="B321" s="5" t="s">
        <v>471</v>
      </c>
      <c r="C321" s="5">
        <v>1</v>
      </c>
      <c r="D321" s="5">
        <v>6748</v>
      </c>
      <c r="E321" s="5" t="s">
        <v>83</v>
      </c>
      <c r="F321" s="3">
        <f>VLOOKUP(L309,'[1]GL Lookups'!$A:$E,5,FALSE)</f>
        <v>270000</v>
      </c>
      <c r="G321" s="3" t="s">
        <v>578</v>
      </c>
      <c r="H321" s="3" t="s">
        <v>579</v>
      </c>
      <c r="I321" s="4" t="s">
        <v>577</v>
      </c>
      <c r="J321" s="3" t="s">
        <v>708</v>
      </c>
      <c r="K321" s="7">
        <f>ROUND(342308.22,2)</f>
        <v>342308.22</v>
      </c>
      <c r="L321" s="5">
        <v>401600</v>
      </c>
      <c r="M321" s="5" t="s">
        <v>472</v>
      </c>
    </row>
    <row r="322" spans="1:13" ht="47.25" x14ac:dyDescent="0.25">
      <c r="A322" s="5" t="s">
        <v>265</v>
      </c>
      <c r="B322" s="5" t="s">
        <v>495</v>
      </c>
      <c r="C322" s="5">
        <v>1</v>
      </c>
      <c r="D322" s="5">
        <v>14669</v>
      </c>
      <c r="E322" s="5" t="s">
        <v>496</v>
      </c>
      <c r="F322" s="3">
        <f>VLOOKUP(L310,'[1]GL Lookups'!$A:$E,5,FALSE)</f>
        <v>270000</v>
      </c>
      <c r="G322" s="3" t="s">
        <v>578</v>
      </c>
      <c r="H322" s="3" t="s">
        <v>579</v>
      </c>
      <c r="I322" s="4" t="s">
        <v>577</v>
      </c>
      <c r="J322" s="3" t="s">
        <v>708</v>
      </c>
      <c r="K322" s="7">
        <f>ROUND(11273.5,2)</f>
        <v>11273.5</v>
      </c>
      <c r="L322" s="5">
        <v>200316</v>
      </c>
      <c r="M322" s="5" t="s">
        <v>497</v>
      </c>
    </row>
    <row r="323" spans="1:13" ht="31.5" x14ac:dyDescent="0.25">
      <c r="A323" s="5" t="s">
        <v>452</v>
      </c>
      <c r="B323" s="5" t="s">
        <v>498</v>
      </c>
      <c r="C323" s="5">
        <v>1</v>
      </c>
      <c r="D323" s="5">
        <v>2067</v>
      </c>
      <c r="E323" s="5" t="s">
        <v>450</v>
      </c>
      <c r="F323" s="3">
        <v>171012</v>
      </c>
      <c r="G323" s="3" t="s">
        <v>629</v>
      </c>
      <c r="H323" s="3" t="s">
        <v>592</v>
      </c>
      <c r="I323" s="6" t="s">
        <v>582</v>
      </c>
      <c r="J323" s="3" t="s">
        <v>675</v>
      </c>
      <c r="K323" s="7">
        <f>ROUND(10000,2)</f>
        <v>10000</v>
      </c>
      <c r="L323" s="5">
        <v>401012</v>
      </c>
      <c r="M323" s="5">
        <v>10511</v>
      </c>
    </row>
    <row r="324" spans="1:13" ht="47.25" x14ac:dyDescent="0.25">
      <c r="A324" s="5" t="s">
        <v>452</v>
      </c>
      <c r="B324" s="5" t="s">
        <v>492</v>
      </c>
      <c r="C324" s="5">
        <v>1</v>
      </c>
      <c r="D324" s="5">
        <v>2487</v>
      </c>
      <c r="E324" s="5" t="s">
        <v>493</v>
      </c>
      <c r="F324" s="3">
        <f>VLOOKUP(L312,'[1]GL Lookups'!$A:$E,5,FALSE)</f>
        <v>270000</v>
      </c>
      <c r="G324" s="3" t="s">
        <v>578</v>
      </c>
      <c r="H324" s="3" t="s">
        <v>579</v>
      </c>
      <c r="I324" s="4" t="s">
        <v>577</v>
      </c>
      <c r="J324" s="3" t="s">
        <v>708</v>
      </c>
      <c r="K324" s="7">
        <f>ROUND(53343.34,2)</f>
        <v>53343.34</v>
      </c>
      <c r="L324" s="5">
        <v>200123</v>
      </c>
      <c r="M324" s="5" t="s">
        <v>494</v>
      </c>
    </row>
    <row r="325" spans="1:13" ht="31.5" x14ac:dyDescent="0.25">
      <c r="A325" s="5" t="s">
        <v>452</v>
      </c>
      <c r="B325" s="5" t="s">
        <v>487</v>
      </c>
      <c r="C325" s="5">
        <v>1</v>
      </c>
      <c r="D325" s="5">
        <v>14890</v>
      </c>
      <c r="E325" s="5" t="s">
        <v>488</v>
      </c>
      <c r="F325" s="3">
        <v>390000</v>
      </c>
      <c r="G325" s="3" t="s">
        <v>585</v>
      </c>
      <c r="H325" s="3" t="s">
        <v>586</v>
      </c>
      <c r="I325" s="6" t="s">
        <v>582</v>
      </c>
      <c r="J325" s="3" t="s">
        <v>649</v>
      </c>
      <c r="K325" s="7">
        <f>ROUND(24048.34,2)</f>
        <v>24048.34</v>
      </c>
      <c r="L325" s="5">
        <v>200123</v>
      </c>
      <c r="M325" s="5">
        <v>12328</v>
      </c>
    </row>
    <row r="326" spans="1:13" ht="31.5" x14ac:dyDescent="0.25">
      <c r="A326" s="5" t="s">
        <v>452</v>
      </c>
      <c r="B326" s="5" t="s">
        <v>500</v>
      </c>
      <c r="C326" s="5">
        <v>1</v>
      </c>
      <c r="D326" s="5">
        <v>12193</v>
      </c>
      <c r="E326" s="5" t="s">
        <v>286</v>
      </c>
      <c r="F326" s="3">
        <v>202100</v>
      </c>
      <c r="G326" s="3" t="s">
        <v>623</v>
      </c>
      <c r="H326" s="3" t="s">
        <v>614</v>
      </c>
      <c r="I326" s="6" t="s">
        <v>577</v>
      </c>
      <c r="J326" s="3" t="s">
        <v>680</v>
      </c>
      <c r="K326" s="7">
        <f>ROUND(154516,2)</f>
        <v>154516</v>
      </c>
      <c r="L326" s="5">
        <v>500305</v>
      </c>
      <c r="M326" s="5">
        <v>10979</v>
      </c>
    </row>
    <row r="327" spans="1:13" ht="31.5" x14ac:dyDescent="0.25">
      <c r="A327" s="5" t="s">
        <v>452</v>
      </c>
      <c r="B327" s="5" t="s">
        <v>482</v>
      </c>
      <c r="C327" s="5">
        <v>1</v>
      </c>
      <c r="D327" s="5">
        <v>178</v>
      </c>
      <c r="E327" s="5" t="s">
        <v>79</v>
      </c>
      <c r="F327" s="3">
        <v>999999</v>
      </c>
      <c r="G327" s="3" t="s">
        <v>614</v>
      </c>
      <c r="H327" s="3" t="s">
        <v>614</v>
      </c>
      <c r="I327" s="6" t="s">
        <v>577</v>
      </c>
      <c r="J327" s="3" t="s">
        <v>710</v>
      </c>
      <c r="K327" s="7">
        <f>ROUND(8471.64,2)</f>
        <v>8471.64</v>
      </c>
      <c r="L327" s="5">
        <v>500303</v>
      </c>
      <c r="M327" s="5">
        <v>10966</v>
      </c>
    </row>
    <row r="328" spans="1:13" ht="47.25" x14ac:dyDescent="0.25">
      <c r="A328" s="5" t="s">
        <v>484</v>
      </c>
      <c r="B328" s="5" t="s">
        <v>499</v>
      </c>
      <c r="C328" s="5">
        <v>1</v>
      </c>
      <c r="D328" s="5">
        <v>10886</v>
      </c>
      <c r="E328" s="5" t="s">
        <v>89</v>
      </c>
      <c r="F328" s="3">
        <v>270000</v>
      </c>
      <c r="G328" s="3" t="s">
        <v>578</v>
      </c>
      <c r="H328" s="3" t="s">
        <v>579</v>
      </c>
      <c r="I328" s="6" t="s">
        <v>588</v>
      </c>
      <c r="J328" s="3" t="s">
        <v>711</v>
      </c>
      <c r="K328" s="7">
        <f>ROUND(27085.5,2)</f>
        <v>27085.5</v>
      </c>
      <c r="L328" s="5">
        <v>402001</v>
      </c>
      <c r="M328" s="5">
        <v>12777</v>
      </c>
    </row>
    <row r="329" spans="1:13" ht="47.25" x14ac:dyDescent="0.25">
      <c r="A329" s="5" t="s">
        <v>484</v>
      </c>
      <c r="B329" s="5" t="s">
        <v>505</v>
      </c>
      <c r="C329" s="5">
        <v>1</v>
      </c>
      <c r="D329" s="5">
        <v>14742</v>
      </c>
      <c r="E329" s="5" t="s">
        <v>506</v>
      </c>
      <c r="F329" s="3">
        <f>VLOOKUP(L317,'[1]GL Lookups'!$A:$E,5,FALSE)</f>
        <v>270000</v>
      </c>
      <c r="G329" s="3" t="s">
        <v>578</v>
      </c>
      <c r="H329" s="3" t="s">
        <v>579</v>
      </c>
      <c r="I329" s="4" t="s">
        <v>577</v>
      </c>
      <c r="J329" s="3" t="s">
        <v>708</v>
      </c>
      <c r="K329" s="7">
        <f>ROUND(565222,2)</f>
        <v>565222</v>
      </c>
      <c r="L329" s="5">
        <v>200123</v>
      </c>
      <c r="M329" s="5" t="s">
        <v>179</v>
      </c>
    </row>
    <row r="330" spans="1:13" ht="47.25" x14ac:dyDescent="0.25">
      <c r="A330" s="5" t="s">
        <v>484</v>
      </c>
      <c r="B330" s="5" t="s">
        <v>504</v>
      </c>
      <c r="C330" s="5">
        <v>1</v>
      </c>
      <c r="D330" s="5">
        <v>1353</v>
      </c>
      <c r="E330" s="5" t="s">
        <v>120</v>
      </c>
      <c r="F330" s="3">
        <f>VLOOKUP(L318,'[1]GL Lookups'!$A:$E,5,FALSE)</f>
        <v>270000</v>
      </c>
      <c r="G330" s="3" t="s">
        <v>578</v>
      </c>
      <c r="H330" s="3" t="s">
        <v>579</v>
      </c>
      <c r="I330" s="4" t="s">
        <v>577</v>
      </c>
      <c r="J330" s="3" t="s">
        <v>708</v>
      </c>
      <c r="K330" s="7">
        <f>ROUND(8661,2)</f>
        <v>8661</v>
      </c>
      <c r="L330" s="5">
        <v>401600</v>
      </c>
      <c r="M330" s="5" t="s">
        <v>179</v>
      </c>
    </row>
    <row r="331" spans="1:13" ht="15.75" x14ac:dyDescent="0.25">
      <c r="A331" s="5" t="s">
        <v>484</v>
      </c>
      <c r="B331" s="5" t="s">
        <v>501</v>
      </c>
      <c r="C331" s="5">
        <v>1</v>
      </c>
      <c r="D331" s="5">
        <v>2487</v>
      </c>
      <c r="E331" s="5" t="s">
        <v>493</v>
      </c>
      <c r="F331" s="3">
        <f>VLOOKUP(L319,'[1]GL Lookups'!$A:$E,5,FALSE)</f>
        <v>390000</v>
      </c>
      <c r="G331" s="3" t="s">
        <v>608</v>
      </c>
      <c r="H331" s="3" t="s">
        <v>608</v>
      </c>
      <c r="I331" s="1" t="s">
        <v>582</v>
      </c>
      <c r="J331" s="3" t="e">
        <v>#N/A</v>
      </c>
      <c r="K331" s="7">
        <f>ROUND(284076,2)</f>
        <v>284076</v>
      </c>
      <c r="L331" s="5">
        <v>200123</v>
      </c>
      <c r="M331" s="5" t="s">
        <v>494</v>
      </c>
    </row>
    <row r="332" spans="1:13" ht="31.5" x14ac:dyDescent="0.25">
      <c r="A332" s="5" t="s">
        <v>451</v>
      </c>
      <c r="B332" s="5" t="s">
        <v>510</v>
      </c>
      <c r="C332" s="5">
        <v>1</v>
      </c>
      <c r="D332" s="5">
        <v>1978</v>
      </c>
      <c r="E332" s="5" t="s">
        <v>347</v>
      </c>
      <c r="F332" s="3">
        <v>999999</v>
      </c>
      <c r="G332" s="3" t="s">
        <v>614</v>
      </c>
      <c r="H332" s="3" t="s">
        <v>614</v>
      </c>
      <c r="I332" s="6" t="s">
        <v>588</v>
      </c>
      <c r="J332" s="3" t="s">
        <v>678</v>
      </c>
      <c r="K332" s="7">
        <f>ROUND(86880.25,2)</f>
        <v>86880.25</v>
      </c>
      <c r="L332" s="5">
        <v>500303</v>
      </c>
      <c r="M332" s="5">
        <v>13274</v>
      </c>
    </row>
    <row r="333" spans="1:13" ht="31.5" x14ac:dyDescent="0.25">
      <c r="A333" s="5" t="s">
        <v>451</v>
      </c>
      <c r="B333" s="5" t="s">
        <v>511</v>
      </c>
      <c r="C333" s="5">
        <v>1</v>
      </c>
      <c r="D333" s="5">
        <v>16059</v>
      </c>
      <c r="E333" s="5" t="s">
        <v>465</v>
      </c>
      <c r="F333" s="3">
        <v>190000</v>
      </c>
      <c r="G333" s="3" t="s">
        <v>617</v>
      </c>
      <c r="H333" s="3" t="s">
        <v>625</v>
      </c>
      <c r="I333" s="6" t="s">
        <v>582</v>
      </c>
      <c r="J333" s="3" t="s">
        <v>704</v>
      </c>
      <c r="K333" s="7">
        <f>ROUND(7452.2,2)</f>
        <v>7452.2</v>
      </c>
      <c r="L333" s="5">
        <v>401806</v>
      </c>
      <c r="M333" s="5">
        <v>11289</v>
      </c>
    </row>
    <row r="334" spans="1:13" ht="31.5" x14ac:dyDescent="0.25">
      <c r="A334" s="5" t="s">
        <v>468</v>
      </c>
      <c r="B334" s="5" t="s">
        <v>515</v>
      </c>
      <c r="C334" s="5">
        <v>1</v>
      </c>
      <c r="D334" s="5">
        <v>8233</v>
      </c>
      <c r="E334" s="5" t="s">
        <v>516</v>
      </c>
      <c r="F334" s="3">
        <v>182020</v>
      </c>
      <c r="G334" s="3" t="s">
        <v>602</v>
      </c>
      <c r="H334" s="3" t="s">
        <v>603</v>
      </c>
      <c r="I334" s="6" t="s">
        <v>582</v>
      </c>
      <c r="J334" s="3" t="s">
        <v>712</v>
      </c>
      <c r="K334" s="7">
        <f>ROUND(14304,2)</f>
        <v>14304</v>
      </c>
      <c r="L334" s="5">
        <v>400401</v>
      </c>
      <c r="M334" s="5">
        <v>10864</v>
      </c>
    </row>
    <row r="335" spans="1:13" ht="47.25" x14ac:dyDescent="0.25">
      <c r="A335" s="5" t="s">
        <v>448</v>
      </c>
      <c r="B335" s="5" t="s">
        <v>447</v>
      </c>
      <c r="C335" s="5">
        <v>1</v>
      </c>
      <c r="D335" s="5">
        <v>16834</v>
      </c>
      <c r="E335" s="5" t="s">
        <v>449</v>
      </c>
      <c r="F335" s="3">
        <v>270000</v>
      </c>
      <c r="G335" s="3" t="s">
        <v>578</v>
      </c>
      <c r="H335" s="3" t="s">
        <v>579</v>
      </c>
      <c r="I335" s="6" t="s">
        <v>577</v>
      </c>
      <c r="J335" s="3" t="s">
        <v>683</v>
      </c>
      <c r="K335" s="7">
        <f>ROUND(5000,2)</f>
        <v>5000</v>
      </c>
      <c r="L335" s="5">
        <v>402004</v>
      </c>
      <c r="M335" s="5">
        <v>11112</v>
      </c>
    </row>
    <row r="336" spans="1:13" ht="15.75" x14ac:dyDescent="0.25">
      <c r="A336" s="5" t="s">
        <v>448</v>
      </c>
      <c r="B336" s="5" t="s">
        <v>519</v>
      </c>
      <c r="C336" s="5">
        <v>1</v>
      </c>
      <c r="D336" s="5">
        <v>16458</v>
      </c>
      <c r="E336" s="5" t="s">
        <v>520</v>
      </c>
      <c r="F336" s="3">
        <v>260000</v>
      </c>
      <c r="G336" s="3" t="s">
        <v>604</v>
      </c>
      <c r="H336" s="3" t="s">
        <v>610</v>
      </c>
      <c r="I336" s="6" t="s">
        <v>588</v>
      </c>
      <c r="J336" s="3" t="s">
        <v>713</v>
      </c>
      <c r="K336" s="7">
        <f>ROUND(5000,2)</f>
        <v>5000</v>
      </c>
      <c r="L336" s="5">
        <v>102020</v>
      </c>
      <c r="M336" s="5">
        <v>11873</v>
      </c>
    </row>
    <row r="337" spans="1:13" ht="31.5" x14ac:dyDescent="0.25">
      <c r="A337" s="5" t="s">
        <v>448</v>
      </c>
      <c r="B337" s="5" t="s">
        <v>524</v>
      </c>
      <c r="C337" s="5">
        <v>1</v>
      </c>
      <c r="D337" s="5">
        <v>1255</v>
      </c>
      <c r="E337" s="5" t="s">
        <v>105</v>
      </c>
      <c r="F337" s="3">
        <v>390000</v>
      </c>
      <c r="G337" s="3" t="s">
        <v>585</v>
      </c>
      <c r="H337" s="3" t="s">
        <v>587</v>
      </c>
      <c r="I337" s="6" t="s">
        <v>588</v>
      </c>
      <c r="J337" s="3" t="s">
        <v>714</v>
      </c>
      <c r="K337" s="7">
        <f>ROUND(10000,2)</f>
        <v>10000</v>
      </c>
      <c r="L337" s="5">
        <v>200301</v>
      </c>
      <c r="M337" s="5">
        <v>11658</v>
      </c>
    </row>
    <row r="338" spans="1:13" ht="31.5" x14ac:dyDescent="0.25">
      <c r="A338" s="5" t="s">
        <v>448</v>
      </c>
      <c r="B338" s="5" t="s">
        <v>523</v>
      </c>
      <c r="C338" s="5">
        <v>1</v>
      </c>
      <c r="D338" s="5">
        <v>18</v>
      </c>
      <c r="E338" s="5" t="s">
        <v>108</v>
      </c>
      <c r="F338" s="3">
        <v>181800</v>
      </c>
      <c r="G338" s="3" t="s">
        <v>575</v>
      </c>
      <c r="H338" s="3" t="s">
        <v>576</v>
      </c>
      <c r="I338" s="6" t="s">
        <v>588</v>
      </c>
      <c r="J338" s="3" t="s">
        <v>715</v>
      </c>
      <c r="K338" s="7">
        <f>ROUND(670,2)</f>
        <v>670</v>
      </c>
      <c r="L338" s="5">
        <v>400110</v>
      </c>
      <c r="M338" s="5">
        <v>11016</v>
      </c>
    </row>
    <row r="339" spans="1:13" ht="31.5" x14ac:dyDescent="0.25">
      <c r="A339" s="5" t="s">
        <v>448</v>
      </c>
      <c r="B339" s="5" t="s">
        <v>523</v>
      </c>
      <c r="C339" s="5">
        <v>2</v>
      </c>
      <c r="D339" s="5">
        <v>18</v>
      </c>
      <c r="E339" s="5" t="s">
        <v>108</v>
      </c>
      <c r="F339" s="3">
        <v>181800</v>
      </c>
      <c r="G339" s="3" t="s">
        <v>575</v>
      </c>
      <c r="H339" s="3" t="s">
        <v>576</v>
      </c>
      <c r="I339" s="6" t="s">
        <v>588</v>
      </c>
      <c r="J339" s="3" t="s">
        <v>715</v>
      </c>
      <c r="K339" s="7">
        <f>ROUND(1533,2)</f>
        <v>1533</v>
      </c>
      <c r="L339" s="5">
        <v>400110</v>
      </c>
      <c r="M339" s="5">
        <v>11016</v>
      </c>
    </row>
    <row r="340" spans="1:13" ht="31.5" x14ac:dyDescent="0.25">
      <c r="A340" s="5" t="s">
        <v>448</v>
      </c>
      <c r="B340" s="5" t="s">
        <v>523</v>
      </c>
      <c r="C340" s="5">
        <v>3</v>
      </c>
      <c r="D340" s="5">
        <v>18</v>
      </c>
      <c r="E340" s="5" t="s">
        <v>108</v>
      </c>
      <c r="F340" s="3">
        <v>181800</v>
      </c>
      <c r="G340" s="3" t="s">
        <v>575</v>
      </c>
      <c r="H340" s="3" t="s">
        <v>576</v>
      </c>
      <c r="I340" s="6" t="s">
        <v>588</v>
      </c>
      <c r="J340" s="3" t="s">
        <v>715</v>
      </c>
      <c r="K340" s="7">
        <f>ROUND(638,2)</f>
        <v>638</v>
      </c>
      <c r="L340" s="5">
        <v>400110</v>
      </c>
      <c r="M340" s="5">
        <v>11016</v>
      </c>
    </row>
    <row r="341" spans="1:13" ht="31.5" x14ac:dyDescent="0.25">
      <c r="A341" s="5" t="s">
        <v>448</v>
      </c>
      <c r="B341" s="5" t="s">
        <v>523</v>
      </c>
      <c r="C341" s="5">
        <v>4</v>
      </c>
      <c r="D341" s="5">
        <v>18</v>
      </c>
      <c r="E341" s="5" t="s">
        <v>108</v>
      </c>
      <c r="F341" s="3">
        <v>181800</v>
      </c>
      <c r="G341" s="3" t="s">
        <v>575</v>
      </c>
      <c r="H341" s="3" t="s">
        <v>576</v>
      </c>
      <c r="I341" s="6" t="s">
        <v>588</v>
      </c>
      <c r="J341" s="3" t="s">
        <v>715</v>
      </c>
      <c r="K341" s="7">
        <f>ROUND(535.9,2)</f>
        <v>535.9</v>
      </c>
      <c r="L341" s="5">
        <v>400110</v>
      </c>
      <c r="M341" s="5">
        <v>11016</v>
      </c>
    </row>
    <row r="342" spans="1:13" ht="31.5" x14ac:dyDescent="0.25">
      <c r="A342" s="5" t="s">
        <v>448</v>
      </c>
      <c r="B342" s="5" t="s">
        <v>523</v>
      </c>
      <c r="C342" s="5">
        <v>5</v>
      </c>
      <c r="D342" s="5">
        <v>18</v>
      </c>
      <c r="E342" s="5" t="s">
        <v>108</v>
      </c>
      <c r="F342" s="3">
        <v>181800</v>
      </c>
      <c r="G342" s="3" t="s">
        <v>575</v>
      </c>
      <c r="H342" s="3" t="s">
        <v>576</v>
      </c>
      <c r="I342" s="6" t="s">
        <v>588</v>
      </c>
      <c r="J342" s="3" t="s">
        <v>715</v>
      </c>
      <c r="K342" s="7">
        <f>ROUND(391.8,2)</f>
        <v>391.8</v>
      </c>
      <c r="L342" s="5">
        <v>400110</v>
      </c>
      <c r="M342" s="5">
        <v>11016</v>
      </c>
    </row>
    <row r="343" spans="1:13" ht="31.5" x14ac:dyDescent="0.25">
      <c r="A343" s="5" t="s">
        <v>448</v>
      </c>
      <c r="B343" s="5" t="s">
        <v>523</v>
      </c>
      <c r="C343" s="5">
        <v>6</v>
      </c>
      <c r="D343" s="5">
        <v>18</v>
      </c>
      <c r="E343" s="5" t="s">
        <v>108</v>
      </c>
      <c r="F343" s="3">
        <v>181800</v>
      </c>
      <c r="G343" s="3" t="s">
        <v>575</v>
      </c>
      <c r="H343" s="3" t="s">
        <v>576</v>
      </c>
      <c r="I343" s="6" t="s">
        <v>588</v>
      </c>
      <c r="J343" s="3" t="s">
        <v>715</v>
      </c>
      <c r="K343" s="7">
        <f>ROUND(391.8,2)</f>
        <v>391.8</v>
      </c>
      <c r="L343" s="5">
        <v>400110</v>
      </c>
      <c r="M343" s="5">
        <v>11016</v>
      </c>
    </row>
    <row r="344" spans="1:13" ht="31.5" x14ac:dyDescent="0.25">
      <c r="A344" s="5" t="s">
        <v>448</v>
      </c>
      <c r="B344" s="5" t="s">
        <v>523</v>
      </c>
      <c r="C344" s="5">
        <v>7</v>
      </c>
      <c r="D344" s="5">
        <v>18</v>
      </c>
      <c r="E344" s="5" t="s">
        <v>108</v>
      </c>
      <c r="F344" s="3">
        <v>181800</v>
      </c>
      <c r="G344" s="3" t="s">
        <v>575</v>
      </c>
      <c r="H344" s="3" t="s">
        <v>576</v>
      </c>
      <c r="I344" s="6" t="s">
        <v>588</v>
      </c>
      <c r="J344" s="3" t="s">
        <v>715</v>
      </c>
      <c r="K344" s="7">
        <f>ROUND(1932.5,2)</f>
        <v>1932.5</v>
      </c>
      <c r="L344" s="5">
        <v>400110</v>
      </c>
      <c r="M344" s="5">
        <v>11016</v>
      </c>
    </row>
    <row r="345" spans="1:13" ht="31.5" x14ac:dyDescent="0.25">
      <c r="A345" s="5" t="s">
        <v>448</v>
      </c>
      <c r="B345" s="5" t="s">
        <v>523</v>
      </c>
      <c r="C345" s="5">
        <v>8</v>
      </c>
      <c r="D345" s="5">
        <v>18</v>
      </c>
      <c r="E345" s="5" t="s">
        <v>108</v>
      </c>
      <c r="F345" s="3">
        <v>181800</v>
      </c>
      <c r="G345" s="3" t="s">
        <v>575</v>
      </c>
      <c r="H345" s="3" t="s">
        <v>576</v>
      </c>
      <c r="I345" s="6" t="s">
        <v>588</v>
      </c>
      <c r="J345" s="3" t="s">
        <v>715</v>
      </c>
      <c r="K345" s="7">
        <f>ROUND(1339.5,2)</f>
        <v>1339.5</v>
      </c>
      <c r="L345" s="5">
        <v>400110</v>
      </c>
      <c r="M345" s="5">
        <v>11016</v>
      </c>
    </row>
    <row r="346" spans="1:13" ht="31.5" x14ac:dyDescent="0.25">
      <c r="A346" s="5" t="s">
        <v>448</v>
      </c>
      <c r="B346" s="5" t="s">
        <v>525</v>
      </c>
      <c r="C346" s="5">
        <v>1</v>
      </c>
      <c r="D346" s="5">
        <v>7572</v>
      </c>
      <c r="E346" s="5" t="s">
        <v>526</v>
      </c>
      <c r="F346" s="3">
        <v>999999</v>
      </c>
      <c r="G346" s="3" t="s">
        <v>614</v>
      </c>
      <c r="H346" s="3" t="s">
        <v>614</v>
      </c>
      <c r="I346" s="6" t="s">
        <v>588</v>
      </c>
      <c r="J346" s="3" t="s">
        <v>678</v>
      </c>
      <c r="K346" s="7">
        <f>ROUND(130333,2)</f>
        <v>130333</v>
      </c>
      <c r="L346" s="5">
        <v>500303</v>
      </c>
      <c r="M346" s="5">
        <v>13274</v>
      </c>
    </row>
    <row r="347" spans="1:13" ht="15.75" x14ac:dyDescent="0.25">
      <c r="A347" s="5" t="s">
        <v>448</v>
      </c>
      <c r="B347" s="5" t="s">
        <v>527</v>
      </c>
      <c r="C347" s="5">
        <v>1</v>
      </c>
      <c r="D347" s="5">
        <v>6967</v>
      </c>
      <c r="E347" s="5" t="s">
        <v>115</v>
      </c>
      <c r="F347" s="3">
        <v>150000</v>
      </c>
      <c r="G347" s="3" t="s">
        <v>601</v>
      </c>
      <c r="H347" s="3" t="s">
        <v>598</v>
      </c>
      <c r="I347" s="6" t="s">
        <v>582</v>
      </c>
      <c r="J347" s="3" t="s">
        <v>670</v>
      </c>
      <c r="K347" s="7">
        <f>ROUND(180600,2)</f>
        <v>180600</v>
      </c>
      <c r="L347" s="5">
        <v>401020</v>
      </c>
      <c r="M347" s="5">
        <v>13107</v>
      </c>
    </row>
    <row r="348" spans="1:13" ht="15.75" x14ac:dyDescent="0.25">
      <c r="A348" s="5" t="s">
        <v>466</v>
      </c>
      <c r="B348" s="5" t="s">
        <v>530</v>
      </c>
      <c r="C348" s="5">
        <v>1</v>
      </c>
      <c r="D348" s="5">
        <v>13624</v>
      </c>
      <c r="E348" s="5" t="s">
        <v>522</v>
      </c>
      <c r="F348" s="3">
        <f>VLOOKUP(L336,'[1]GL Lookups'!$A:$E,5,FALSE)</f>
        <v>260000</v>
      </c>
      <c r="G348" s="3" t="s">
        <v>604</v>
      </c>
      <c r="H348" s="3" t="s">
        <v>610</v>
      </c>
      <c r="I348" s="4" t="s">
        <v>588</v>
      </c>
      <c r="J348" s="3" t="s">
        <v>713</v>
      </c>
      <c r="K348" s="7">
        <f>ROUND(19560,2)</f>
        <v>19560</v>
      </c>
      <c r="L348" s="5">
        <v>200123</v>
      </c>
      <c r="M348" s="5" t="s">
        <v>435</v>
      </c>
    </row>
    <row r="349" spans="1:13" ht="31.5" x14ac:dyDescent="0.25">
      <c r="A349" s="5" t="s">
        <v>466</v>
      </c>
      <c r="B349" s="5" t="s">
        <v>529</v>
      </c>
      <c r="C349" s="5">
        <v>1</v>
      </c>
      <c r="D349" s="5">
        <v>13624</v>
      </c>
      <c r="E349" s="5" t="s">
        <v>522</v>
      </c>
      <c r="F349" s="3">
        <f>VLOOKUP(L337,'[1]GL Lookups'!$A:$E,5,FALSE)</f>
        <v>390000</v>
      </c>
      <c r="G349" s="3" t="s">
        <v>585</v>
      </c>
      <c r="H349" s="3" t="s">
        <v>587</v>
      </c>
      <c r="I349" s="4" t="s">
        <v>588</v>
      </c>
      <c r="J349" s="3" t="s">
        <v>714</v>
      </c>
      <c r="K349" s="7">
        <f>ROUND(18060,2)</f>
        <v>18060</v>
      </c>
      <c r="L349" s="5">
        <v>200123</v>
      </c>
      <c r="M349" s="5" t="s">
        <v>436</v>
      </c>
    </row>
    <row r="350" spans="1:13" ht="31.5" x14ac:dyDescent="0.25">
      <c r="A350" s="5" t="s">
        <v>466</v>
      </c>
      <c r="B350" s="5" t="s">
        <v>528</v>
      </c>
      <c r="C350" s="5">
        <v>1</v>
      </c>
      <c r="D350" s="5">
        <v>13624</v>
      </c>
      <c r="E350" s="5" t="s">
        <v>522</v>
      </c>
      <c r="F350" s="3">
        <f>VLOOKUP(L338,'[1]GL Lookups'!$A:$E,5,FALSE)</f>
        <v>181800</v>
      </c>
      <c r="G350" s="3" t="s">
        <v>575</v>
      </c>
      <c r="H350" s="3" t="s">
        <v>576</v>
      </c>
      <c r="I350" s="4" t="s">
        <v>588</v>
      </c>
      <c r="J350" s="3" t="s">
        <v>715</v>
      </c>
      <c r="K350" s="7">
        <f>ROUND(17360,2)</f>
        <v>17360</v>
      </c>
      <c r="L350" s="5">
        <v>200123</v>
      </c>
      <c r="M350" s="5" t="s">
        <v>365</v>
      </c>
    </row>
    <row r="351" spans="1:13" ht="31.5" x14ac:dyDescent="0.25">
      <c r="A351" s="5" t="s">
        <v>466</v>
      </c>
      <c r="B351" s="5" t="s">
        <v>521</v>
      </c>
      <c r="C351" s="5">
        <v>1</v>
      </c>
      <c r="D351" s="5">
        <v>13624</v>
      </c>
      <c r="E351" s="5" t="s">
        <v>522</v>
      </c>
      <c r="F351" s="3">
        <f>VLOOKUP(L339,'[1]GL Lookups'!$A:$E,5,FALSE)</f>
        <v>181800</v>
      </c>
      <c r="G351" s="3" t="s">
        <v>575</v>
      </c>
      <c r="H351" s="3" t="s">
        <v>576</v>
      </c>
      <c r="I351" s="4" t="s">
        <v>588</v>
      </c>
      <c r="J351" s="3" t="s">
        <v>715</v>
      </c>
      <c r="K351" s="7">
        <f>ROUND(11680,2)</f>
        <v>11680</v>
      </c>
      <c r="L351" s="5">
        <v>200123</v>
      </c>
      <c r="M351" s="5" t="s">
        <v>97</v>
      </c>
    </row>
    <row r="352" spans="1:13" ht="31.5" x14ac:dyDescent="0.25">
      <c r="A352" s="5" t="s">
        <v>466</v>
      </c>
      <c r="B352" s="5" t="s">
        <v>537</v>
      </c>
      <c r="C352" s="5">
        <v>1</v>
      </c>
      <c r="D352" s="5">
        <v>8021</v>
      </c>
      <c r="E352" s="5" t="s">
        <v>538</v>
      </c>
      <c r="F352" s="3">
        <v>190000</v>
      </c>
      <c r="G352" s="3" t="s">
        <v>617</v>
      </c>
      <c r="H352" s="3" t="s">
        <v>618</v>
      </c>
      <c r="I352" s="6" t="s">
        <v>588</v>
      </c>
      <c r="J352" s="3" t="s">
        <v>716</v>
      </c>
      <c r="K352" s="7">
        <f>ROUND(9920,2)</f>
        <v>9920</v>
      </c>
      <c r="L352" s="5">
        <v>400705</v>
      </c>
      <c r="M352" s="5">
        <v>13190</v>
      </c>
    </row>
    <row r="353" spans="1:13" ht="31.5" x14ac:dyDescent="0.25">
      <c r="A353" s="5" t="s">
        <v>466</v>
      </c>
      <c r="B353" s="5" t="s">
        <v>539</v>
      </c>
      <c r="C353" s="5">
        <v>1</v>
      </c>
      <c r="D353" s="5">
        <v>3529</v>
      </c>
      <c r="E353" s="5" t="s">
        <v>12</v>
      </c>
      <c r="F353" s="3">
        <f>VLOOKUP(L341,'[1]GL Lookups'!$A:$E,5,FALSE)</f>
        <v>181800</v>
      </c>
      <c r="G353" s="3" t="s">
        <v>575</v>
      </c>
      <c r="H353" s="3" t="s">
        <v>576</v>
      </c>
      <c r="I353" s="4" t="s">
        <v>588</v>
      </c>
      <c r="J353" s="3" t="s">
        <v>715</v>
      </c>
      <c r="K353" s="7">
        <f>ROUND(22575.93,2)</f>
        <v>22575.93</v>
      </c>
      <c r="L353" s="5">
        <v>401600</v>
      </c>
      <c r="M353" s="5" t="s">
        <v>472</v>
      </c>
    </row>
    <row r="354" spans="1:13" ht="31.5" x14ac:dyDescent="0.25">
      <c r="A354" s="5" t="s">
        <v>446</v>
      </c>
      <c r="B354" s="5" t="s">
        <v>531</v>
      </c>
      <c r="C354" s="5">
        <v>1</v>
      </c>
      <c r="D354" s="5">
        <v>3529</v>
      </c>
      <c r="E354" s="5" t="s">
        <v>12</v>
      </c>
      <c r="F354" s="3">
        <f>VLOOKUP(L342,'[1]GL Lookups'!$A:$E,5,FALSE)</f>
        <v>181800</v>
      </c>
      <c r="G354" s="3" t="s">
        <v>575</v>
      </c>
      <c r="H354" s="3" t="s">
        <v>576</v>
      </c>
      <c r="I354" s="4" t="s">
        <v>588</v>
      </c>
      <c r="J354" s="3" t="s">
        <v>715</v>
      </c>
      <c r="K354" s="7">
        <f>ROUND(87460.5,2)</f>
        <v>87460.5</v>
      </c>
      <c r="L354" s="5">
        <v>200304</v>
      </c>
      <c r="M354" s="5" t="s">
        <v>532</v>
      </c>
    </row>
    <row r="355" spans="1:13" ht="31.5" x14ac:dyDescent="0.25">
      <c r="A355" s="5" t="s">
        <v>446</v>
      </c>
      <c r="B355" s="5" t="s">
        <v>455</v>
      </c>
      <c r="C355" s="5">
        <v>1</v>
      </c>
      <c r="D355" s="5">
        <v>82</v>
      </c>
      <c r="E355" s="5" t="s">
        <v>85</v>
      </c>
      <c r="F355" s="3">
        <f>VLOOKUP(L343,'[1]GL Lookups'!$A:$E,5,FALSE)</f>
        <v>181800</v>
      </c>
      <c r="G355" s="3" t="s">
        <v>575</v>
      </c>
      <c r="H355" s="3" t="s">
        <v>576</v>
      </c>
      <c r="I355" s="4" t="s">
        <v>588</v>
      </c>
      <c r="J355" s="3" t="s">
        <v>715</v>
      </c>
      <c r="K355" s="7">
        <f>ROUND(15778.44,2)</f>
        <v>15778.44</v>
      </c>
      <c r="L355" s="5">
        <v>200304</v>
      </c>
      <c r="M355" s="5" t="s">
        <v>456</v>
      </c>
    </row>
    <row r="356" spans="1:13" ht="31.5" x14ac:dyDescent="0.25">
      <c r="A356" s="5" t="s">
        <v>446</v>
      </c>
      <c r="B356" s="5" t="s">
        <v>541</v>
      </c>
      <c r="C356" s="5">
        <v>1</v>
      </c>
      <c r="D356" s="5">
        <v>7413</v>
      </c>
      <c r="E356" s="5" t="s">
        <v>138</v>
      </c>
      <c r="F356" s="3">
        <f>VLOOKUP(L344,'[1]GL Lookups'!$A:$E,5,FALSE)</f>
        <v>181800</v>
      </c>
      <c r="G356" s="3" t="s">
        <v>575</v>
      </c>
      <c r="H356" s="3" t="s">
        <v>576</v>
      </c>
      <c r="I356" s="4" t="s">
        <v>588</v>
      </c>
      <c r="J356" s="3" t="s">
        <v>715</v>
      </c>
      <c r="K356" s="7">
        <f>ROUND(321031.22,2)</f>
        <v>321031.21999999997</v>
      </c>
      <c r="L356" s="5">
        <v>401600</v>
      </c>
      <c r="M356" s="5" t="s">
        <v>110</v>
      </c>
    </row>
    <row r="357" spans="1:13" ht="15.75" x14ac:dyDescent="0.25">
      <c r="A357" s="5" t="s">
        <v>427</v>
      </c>
      <c r="B357" s="5" t="s">
        <v>543</v>
      </c>
      <c r="C357" s="5">
        <v>1</v>
      </c>
      <c r="D357" s="5">
        <v>14222</v>
      </c>
      <c r="E357" s="5" t="s">
        <v>252</v>
      </c>
      <c r="F357" s="3">
        <v>150000</v>
      </c>
      <c r="G357" s="3" t="s">
        <v>601</v>
      </c>
      <c r="H357" s="3" t="s">
        <v>598</v>
      </c>
      <c r="I357" s="6" t="s">
        <v>588</v>
      </c>
      <c r="J357" s="3" t="s">
        <v>678</v>
      </c>
      <c r="K357" s="7">
        <f>ROUND(7500,2)</f>
        <v>7500</v>
      </c>
      <c r="L357" s="5">
        <v>401007</v>
      </c>
      <c r="M357" s="5">
        <v>13274</v>
      </c>
    </row>
    <row r="358" spans="1:13" ht="15.75" x14ac:dyDescent="0.25">
      <c r="A358" s="5" t="s">
        <v>427</v>
      </c>
      <c r="B358" s="5" t="s">
        <v>542</v>
      </c>
      <c r="C358" s="5">
        <v>1</v>
      </c>
      <c r="D358" s="5">
        <v>16830</v>
      </c>
      <c r="E358" s="5" t="s">
        <v>235</v>
      </c>
      <c r="F358" s="3">
        <v>150000</v>
      </c>
      <c r="G358" s="3" t="s">
        <v>601</v>
      </c>
      <c r="H358" s="3" t="s">
        <v>598</v>
      </c>
      <c r="I358" s="6" t="s">
        <v>588</v>
      </c>
      <c r="J358" s="3" t="s">
        <v>678</v>
      </c>
      <c r="K358" s="7">
        <f>ROUND(49772.7,2)</f>
        <v>49772.7</v>
      </c>
      <c r="L358" s="5">
        <v>401007</v>
      </c>
      <c r="M358" s="5">
        <v>13274</v>
      </c>
    </row>
    <row r="359" spans="1:13" ht="31.5" x14ac:dyDescent="0.25">
      <c r="A359" s="5" t="s">
        <v>427</v>
      </c>
      <c r="B359" s="5" t="s">
        <v>517</v>
      </c>
      <c r="C359" s="5">
        <v>1</v>
      </c>
      <c r="D359" s="5">
        <v>1342</v>
      </c>
      <c r="E359" s="5" t="s">
        <v>247</v>
      </c>
      <c r="F359" s="3">
        <v>182020</v>
      </c>
      <c r="G359" s="3" t="s">
        <v>602</v>
      </c>
      <c r="H359" s="3" t="s">
        <v>603</v>
      </c>
      <c r="I359" s="6" t="s">
        <v>582</v>
      </c>
      <c r="J359" s="3" t="s">
        <v>677</v>
      </c>
      <c r="K359" s="7">
        <f>ROUND(828.4,2)</f>
        <v>828.4</v>
      </c>
      <c r="L359" s="5">
        <v>400401</v>
      </c>
      <c r="M359" s="5">
        <v>10883</v>
      </c>
    </row>
    <row r="360" spans="1:13" ht="31.5" x14ac:dyDescent="0.25">
      <c r="A360" s="5" t="s">
        <v>427</v>
      </c>
      <c r="B360" s="5" t="s">
        <v>517</v>
      </c>
      <c r="C360" s="5">
        <v>2</v>
      </c>
      <c r="D360" s="5">
        <v>1342</v>
      </c>
      <c r="E360" s="5" t="s">
        <v>247</v>
      </c>
      <c r="F360" s="3">
        <v>182020</v>
      </c>
      <c r="G360" s="3" t="s">
        <v>602</v>
      </c>
      <c r="H360" s="3" t="s">
        <v>603</v>
      </c>
      <c r="I360" s="6" t="s">
        <v>582</v>
      </c>
      <c r="J360" s="3" t="s">
        <v>677</v>
      </c>
      <c r="K360" s="7">
        <f>ROUND(207.1,2)</f>
        <v>207.1</v>
      </c>
      <c r="L360" s="5">
        <v>400401</v>
      </c>
      <c r="M360" s="5">
        <v>10883</v>
      </c>
    </row>
    <row r="361" spans="1:13" ht="31.5" x14ac:dyDescent="0.25">
      <c r="A361" s="5" t="s">
        <v>427</v>
      </c>
      <c r="B361" s="5" t="s">
        <v>517</v>
      </c>
      <c r="C361" s="5">
        <v>3</v>
      </c>
      <c r="D361" s="5">
        <v>1342</v>
      </c>
      <c r="E361" s="5" t="s">
        <v>247</v>
      </c>
      <c r="F361" s="3">
        <v>182020</v>
      </c>
      <c r="G361" s="3" t="s">
        <v>602</v>
      </c>
      <c r="H361" s="3" t="s">
        <v>603</v>
      </c>
      <c r="I361" s="6" t="s">
        <v>582</v>
      </c>
      <c r="J361" s="3" t="s">
        <v>677</v>
      </c>
      <c r="K361" s="7">
        <f>ROUND(150,2)</f>
        <v>150</v>
      </c>
      <c r="L361" s="5">
        <v>400401</v>
      </c>
      <c r="M361" s="5">
        <v>10883</v>
      </c>
    </row>
    <row r="362" spans="1:13" ht="31.5" x14ac:dyDescent="0.25">
      <c r="A362" s="5" t="s">
        <v>427</v>
      </c>
      <c r="B362" s="5" t="s">
        <v>517</v>
      </c>
      <c r="C362" s="5">
        <v>4</v>
      </c>
      <c r="D362" s="5">
        <v>1342</v>
      </c>
      <c r="E362" s="5" t="s">
        <v>247</v>
      </c>
      <c r="F362" s="3">
        <v>182020</v>
      </c>
      <c r="G362" s="3" t="s">
        <v>602</v>
      </c>
      <c r="H362" s="3" t="s">
        <v>603</v>
      </c>
      <c r="I362" s="6" t="s">
        <v>582</v>
      </c>
      <c r="J362" s="3" t="s">
        <v>677</v>
      </c>
      <c r="K362" s="7">
        <f>ROUND(4790,2)</f>
        <v>4790</v>
      </c>
      <c r="L362" s="5">
        <v>400401</v>
      </c>
      <c r="M362" s="5">
        <v>10883</v>
      </c>
    </row>
    <row r="363" spans="1:13" ht="15.75" x14ac:dyDescent="0.25">
      <c r="A363" s="5" t="s">
        <v>427</v>
      </c>
      <c r="B363" s="5" t="s">
        <v>535</v>
      </c>
      <c r="C363" s="5">
        <v>1</v>
      </c>
      <c r="D363" s="5">
        <v>3798</v>
      </c>
      <c r="E363" s="5" t="s">
        <v>536</v>
      </c>
      <c r="F363" s="3">
        <v>150000</v>
      </c>
      <c r="G363" s="3" t="s">
        <v>601</v>
      </c>
      <c r="H363" s="3" t="s">
        <v>598</v>
      </c>
      <c r="I363" s="6" t="s">
        <v>582</v>
      </c>
      <c r="J363" s="3" t="s">
        <v>717</v>
      </c>
      <c r="K363" s="7">
        <f>ROUND(6650,2)</f>
        <v>6650</v>
      </c>
      <c r="L363" s="5">
        <v>401020</v>
      </c>
      <c r="M363" s="5">
        <v>10062</v>
      </c>
    </row>
    <row r="364" spans="1:13" ht="31.5" x14ac:dyDescent="0.25">
      <c r="A364" s="5" t="s">
        <v>518</v>
      </c>
      <c r="B364" s="5" t="s">
        <v>545</v>
      </c>
      <c r="C364" s="5">
        <v>1</v>
      </c>
      <c r="D364" s="5">
        <v>11021</v>
      </c>
      <c r="E364" s="5" t="s">
        <v>207</v>
      </c>
      <c r="F364" s="3">
        <v>261500</v>
      </c>
      <c r="G364" s="3" t="s">
        <v>611</v>
      </c>
      <c r="H364" s="3" t="s">
        <v>592</v>
      </c>
      <c r="I364" s="6" t="s">
        <v>588</v>
      </c>
      <c r="J364" s="3" t="s">
        <v>718</v>
      </c>
      <c r="K364" s="7">
        <f>ROUND(221172,2)</f>
        <v>221172</v>
      </c>
      <c r="L364" s="5">
        <v>401024</v>
      </c>
      <c r="M364" s="5">
        <v>10372</v>
      </c>
    </row>
    <row r="365" spans="1:13" ht="31.5" x14ac:dyDescent="0.25">
      <c r="A365" s="5" t="s">
        <v>508</v>
      </c>
      <c r="B365" s="5" t="s">
        <v>507</v>
      </c>
      <c r="C365" s="5">
        <v>1</v>
      </c>
      <c r="D365" s="5">
        <v>5570</v>
      </c>
      <c r="E365" s="5" t="s">
        <v>509</v>
      </c>
      <c r="F365" s="3">
        <v>171012</v>
      </c>
      <c r="G365" s="3" t="s">
        <v>629</v>
      </c>
      <c r="H365" s="3" t="s">
        <v>592</v>
      </c>
      <c r="I365" s="6" t="s">
        <v>582</v>
      </c>
      <c r="J365" s="3" t="s">
        <v>675</v>
      </c>
      <c r="K365" s="7">
        <f>ROUND(15000,2)</f>
        <v>15000</v>
      </c>
      <c r="L365" s="5">
        <v>401012</v>
      </c>
      <c r="M365" s="5">
        <v>10511</v>
      </c>
    </row>
    <row r="366" spans="1:13" ht="31.5" x14ac:dyDescent="0.25">
      <c r="A366" s="5" t="s">
        <v>508</v>
      </c>
      <c r="B366" s="5" t="s">
        <v>512</v>
      </c>
      <c r="C366" s="5">
        <v>1</v>
      </c>
      <c r="D366" s="5">
        <v>12384</v>
      </c>
      <c r="E366" s="5" t="s">
        <v>142</v>
      </c>
      <c r="F366" s="3">
        <v>320000</v>
      </c>
      <c r="G366" s="3" t="s">
        <v>595</v>
      </c>
      <c r="H366" s="3" t="s">
        <v>612</v>
      </c>
      <c r="I366" s="1" t="s">
        <v>582</v>
      </c>
      <c r="J366" s="3" t="s">
        <v>719</v>
      </c>
      <c r="K366" s="7">
        <f>ROUND(100598,2)</f>
        <v>100598</v>
      </c>
      <c r="L366" s="5">
        <v>500530</v>
      </c>
      <c r="M366" s="5">
        <v>13276</v>
      </c>
    </row>
    <row r="367" spans="1:13" ht="31.5" x14ac:dyDescent="0.25">
      <c r="A367" s="5" t="s">
        <v>508</v>
      </c>
      <c r="B367" s="5" t="s">
        <v>513</v>
      </c>
      <c r="C367" s="5">
        <v>1</v>
      </c>
      <c r="D367" s="5">
        <v>13732</v>
      </c>
      <c r="E367" s="5" t="s">
        <v>514</v>
      </c>
      <c r="F367" s="3">
        <v>320000</v>
      </c>
      <c r="G367" s="3" t="s">
        <v>595</v>
      </c>
      <c r="H367" s="3" t="s">
        <v>612</v>
      </c>
      <c r="I367" s="1" t="s">
        <v>582</v>
      </c>
      <c r="J367" s="3" t="s">
        <v>720</v>
      </c>
      <c r="K367" s="7">
        <f>ROUND(43000,2)</f>
        <v>43000</v>
      </c>
      <c r="L367" s="5">
        <v>500530</v>
      </c>
      <c r="M367" s="5">
        <v>13277</v>
      </c>
    </row>
    <row r="368" spans="1:13" ht="31.5" x14ac:dyDescent="0.25">
      <c r="A368" s="5" t="s">
        <v>508</v>
      </c>
      <c r="B368" s="5" t="s">
        <v>533</v>
      </c>
      <c r="C368" s="5">
        <v>1</v>
      </c>
      <c r="D368" s="5">
        <v>4344</v>
      </c>
      <c r="E368" s="5" t="s">
        <v>77</v>
      </c>
      <c r="F368" s="3">
        <v>171012</v>
      </c>
      <c r="G368" s="3" t="s">
        <v>629</v>
      </c>
      <c r="H368" s="3" t="s">
        <v>592</v>
      </c>
      <c r="I368" s="6" t="s">
        <v>582</v>
      </c>
      <c r="J368" s="3" t="s">
        <v>675</v>
      </c>
      <c r="K368" s="7">
        <f>ROUND(20000,2)</f>
        <v>20000</v>
      </c>
      <c r="L368" s="5">
        <v>401012</v>
      </c>
      <c r="M368" s="5">
        <v>10511</v>
      </c>
    </row>
    <row r="369" spans="1:13" ht="31.5" x14ac:dyDescent="0.25">
      <c r="A369" s="5" t="s">
        <v>508</v>
      </c>
      <c r="B369" s="5" t="s">
        <v>534</v>
      </c>
      <c r="C369" s="5">
        <v>1</v>
      </c>
      <c r="D369" s="5">
        <v>14343</v>
      </c>
      <c r="E369" s="5" t="s">
        <v>401</v>
      </c>
      <c r="F369" s="3">
        <v>171012</v>
      </c>
      <c r="G369" s="3" t="s">
        <v>629</v>
      </c>
      <c r="H369" s="3" t="s">
        <v>592</v>
      </c>
      <c r="I369" s="6" t="s">
        <v>582</v>
      </c>
      <c r="J369" s="3" t="s">
        <v>675</v>
      </c>
      <c r="K369" s="7">
        <f>ROUND(10000,2)</f>
        <v>10000</v>
      </c>
      <c r="L369" s="5">
        <v>401012</v>
      </c>
      <c r="M369" s="5">
        <v>10511</v>
      </c>
    </row>
    <row r="370" spans="1:13" ht="47.25" x14ac:dyDescent="0.25">
      <c r="A370" s="5" t="s">
        <v>540</v>
      </c>
      <c r="B370" s="5" t="s">
        <v>544</v>
      </c>
      <c r="C370" s="5">
        <v>1</v>
      </c>
      <c r="D370" s="5">
        <v>35</v>
      </c>
      <c r="E370" s="5" t="s">
        <v>15</v>
      </c>
      <c r="F370" s="3">
        <v>270000</v>
      </c>
      <c r="G370" s="3" t="s">
        <v>578</v>
      </c>
      <c r="H370" s="3" t="s">
        <v>579</v>
      </c>
      <c r="I370" s="6" t="s">
        <v>588</v>
      </c>
      <c r="J370" s="3" t="s">
        <v>663</v>
      </c>
      <c r="K370" s="7">
        <f>ROUND(11250,2)</f>
        <v>11250</v>
      </c>
      <c r="L370" s="5">
        <v>402001</v>
      </c>
      <c r="M370" s="5">
        <v>11486</v>
      </c>
    </row>
    <row r="371" spans="1:13" ht="31.5" x14ac:dyDescent="0.25">
      <c r="A371" s="5" t="s">
        <v>540</v>
      </c>
      <c r="B371" s="5" t="s">
        <v>556</v>
      </c>
      <c r="C371" s="5">
        <v>1</v>
      </c>
      <c r="D371" s="5">
        <v>815</v>
      </c>
      <c r="E371" s="5" t="s">
        <v>170</v>
      </c>
      <c r="F371" s="3">
        <v>261500</v>
      </c>
      <c r="G371" s="3" t="s">
        <v>611</v>
      </c>
      <c r="H371" s="3" t="s">
        <v>592</v>
      </c>
      <c r="I371" s="6" t="s">
        <v>582</v>
      </c>
      <c r="J371" s="3" t="s">
        <v>649</v>
      </c>
      <c r="K371" s="7">
        <f>ROUND(9535,2)</f>
        <v>9535</v>
      </c>
      <c r="L371" s="5">
        <v>401024</v>
      </c>
      <c r="M371" s="5">
        <v>12328</v>
      </c>
    </row>
    <row r="372" spans="1:13" ht="31.5" x14ac:dyDescent="0.25">
      <c r="A372" s="5" t="s">
        <v>540</v>
      </c>
      <c r="B372" s="5" t="s">
        <v>553</v>
      </c>
      <c r="C372" s="5">
        <v>1</v>
      </c>
      <c r="D372" s="5">
        <v>8464</v>
      </c>
      <c r="E372" s="5" t="s">
        <v>554</v>
      </c>
      <c r="F372" s="3">
        <f>VLOOKUP(L360,'[1]GL Lookups'!$A:$E,5,FALSE)</f>
        <v>182020</v>
      </c>
      <c r="G372" s="3" t="s">
        <v>602</v>
      </c>
      <c r="H372" s="3" t="s">
        <v>603</v>
      </c>
      <c r="I372" s="4" t="s">
        <v>582</v>
      </c>
      <c r="J372" s="3" t="s">
        <v>677</v>
      </c>
      <c r="K372" s="7">
        <f>ROUND(9290,2)</f>
        <v>9290</v>
      </c>
      <c r="L372" s="5">
        <v>200123</v>
      </c>
      <c r="M372" s="5" t="s">
        <v>555</v>
      </c>
    </row>
    <row r="373" spans="1:13" ht="31.5" x14ac:dyDescent="0.25">
      <c r="A373" s="5" t="s">
        <v>540</v>
      </c>
      <c r="B373" s="5" t="s">
        <v>551</v>
      </c>
      <c r="C373" s="5">
        <v>1</v>
      </c>
      <c r="D373" s="5">
        <v>7004</v>
      </c>
      <c r="E373" s="5" t="s">
        <v>552</v>
      </c>
      <c r="F373" s="3">
        <f>VLOOKUP(L361,'[1]GL Lookups'!$A:$E,5,FALSE)</f>
        <v>182020</v>
      </c>
      <c r="G373" s="3" t="s">
        <v>602</v>
      </c>
      <c r="H373" s="3" t="s">
        <v>603</v>
      </c>
      <c r="I373" s="4" t="s">
        <v>582</v>
      </c>
      <c r="J373" s="3" t="s">
        <v>677</v>
      </c>
      <c r="K373" s="7">
        <f>ROUND(7900,2)</f>
        <v>7900</v>
      </c>
      <c r="L373" s="5">
        <v>200316</v>
      </c>
      <c r="M373" s="5" t="s">
        <v>321</v>
      </c>
    </row>
    <row r="374" spans="1:13" ht="31.5" x14ac:dyDescent="0.25">
      <c r="A374" s="5" t="s">
        <v>540</v>
      </c>
      <c r="B374" s="5" t="s">
        <v>550</v>
      </c>
      <c r="C374" s="5">
        <v>1</v>
      </c>
      <c r="D374" s="5">
        <v>15082</v>
      </c>
      <c r="E374" s="5" t="s">
        <v>275</v>
      </c>
      <c r="F374" s="3">
        <f>VLOOKUP(L362,'[1]GL Lookups'!$A:$E,5,FALSE)</f>
        <v>182020</v>
      </c>
      <c r="G374" s="3" t="s">
        <v>602</v>
      </c>
      <c r="H374" s="3" t="s">
        <v>603</v>
      </c>
      <c r="I374" s="4" t="s">
        <v>582</v>
      </c>
      <c r="J374" s="3" t="s">
        <v>677</v>
      </c>
      <c r="K374" s="7">
        <f>ROUND(5136.1,2)</f>
        <v>5136.1000000000004</v>
      </c>
      <c r="L374" s="5">
        <v>200301</v>
      </c>
      <c r="M374" s="5" t="s">
        <v>365</v>
      </c>
    </row>
    <row r="375" spans="1:13" ht="15.75" x14ac:dyDescent="0.25">
      <c r="A375" s="5" t="s">
        <v>540</v>
      </c>
      <c r="B375" s="5" t="s">
        <v>549</v>
      </c>
      <c r="C375" s="5">
        <v>1</v>
      </c>
      <c r="D375" s="5">
        <v>15082</v>
      </c>
      <c r="E375" s="5" t="s">
        <v>275</v>
      </c>
      <c r="F375" s="3">
        <f>VLOOKUP(L363,'[1]GL Lookups'!$A:$E,5,FALSE)</f>
        <v>150000</v>
      </c>
      <c r="G375" s="3" t="s">
        <v>601</v>
      </c>
      <c r="H375" s="3" t="s">
        <v>598</v>
      </c>
      <c r="I375" s="4" t="s">
        <v>582</v>
      </c>
      <c r="J375" s="3" t="s">
        <v>717</v>
      </c>
      <c r="K375" s="7">
        <f>ROUND(24572,2)</f>
        <v>24572</v>
      </c>
      <c r="L375" s="5">
        <v>200301</v>
      </c>
      <c r="M375" s="5" t="s">
        <v>365</v>
      </c>
    </row>
    <row r="376" spans="1:13" ht="15.75" x14ac:dyDescent="0.25">
      <c r="A376" s="5" t="s">
        <v>481</v>
      </c>
      <c r="B376" s="5" t="s">
        <v>557</v>
      </c>
      <c r="C376" s="5">
        <v>1</v>
      </c>
      <c r="D376" s="5">
        <v>16830</v>
      </c>
      <c r="E376" s="5" t="s">
        <v>235</v>
      </c>
      <c r="F376" s="3">
        <v>150000</v>
      </c>
      <c r="G376" s="3" t="s">
        <v>601</v>
      </c>
      <c r="H376" s="3" t="s">
        <v>598</v>
      </c>
      <c r="I376" s="6" t="s">
        <v>588</v>
      </c>
      <c r="J376" s="3" t="s">
        <v>678</v>
      </c>
      <c r="K376" s="7">
        <f>ROUND(7300,2)</f>
        <v>7300</v>
      </c>
      <c r="L376" s="5">
        <v>401007</v>
      </c>
      <c r="M376" s="5">
        <v>13274</v>
      </c>
    </row>
    <row r="377" spans="1:13" ht="31.5" x14ac:dyDescent="0.25">
      <c r="A377" s="5" t="s">
        <v>481</v>
      </c>
      <c r="B377" s="5" t="s">
        <v>558</v>
      </c>
      <c r="C377" s="5">
        <v>1</v>
      </c>
      <c r="D377" s="5">
        <v>2522</v>
      </c>
      <c r="E377" s="5" t="s">
        <v>559</v>
      </c>
      <c r="F377" s="3">
        <f>VLOOKUP(L365,'[1]GL Lookups'!$A:$E,5,FALSE)</f>
        <v>171012</v>
      </c>
      <c r="G377" s="3" t="s">
        <v>629</v>
      </c>
      <c r="H377" s="3" t="s">
        <v>592</v>
      </c>
      <c r="I377" s="4" t="s">
        <v>582</v>
      </c>
      <c r="J377" s="3" t="s">
        <v>675</v>
      </c>
      <c r="K377" s="7">
        <f>ROUND(223435.65,2)</f>
        <v>223435.65</v>
      </c>
      <c r="L377" s="5">
        <v>200123</v>
      </c>
      <c r="M377" s="5" t="s">
        <v>560</v>
      </c>
    </row>
    <row r="378" spans="1:13" ht="15.75" x14ac:dyDescent="0.25">
      <c r="A378" s="5" t="s">
        <v>481</v>
      </c>
      <c r="B378" s="5" t="s">
        <v>561</v>
      </c>
      <c r="C378" s="5">
        <v>1</v>
      </c>
      <c r="D378" s="5">
        <v>7223</v>
      </c>
      <c r="E378" s="5" t="s">
        <v>425</v>
      </c>
      <c r="F378" s="3">
        <v>150000</v>
      </c>
      <c r="G378" s="3" t="s">
        <v>601</v>
      </c>
      <c r="H378" s="3" t="s">
        <v>598</v>
      </c>
      <c r="I378" s="6" t="s">
        <v>582</v>
      </c>
      <c r="J378" s="3" t="s">
        <v>717</v>
      </c>
      <c r="K378" s="7">
        <f>ROUND(6650,2)</f>
        <v>6650</v>
      </c>
      <c r="L378" s="5">
        <v>401020</v>
      </c>
      <c r="M378" s="5">
        <v>10062</v>
      </c>
    </row>
    <row r="379" spans="1:13" ht="15.75" x14ac:dyDescent="0.25">
      <c r="A379" s="5" t="s">
        <v>204</v>
      </c>
      <c r="B379" s="5" t="s">
        <v>241</v>
      </c>
      <c r="C379" s="5">
        <v>1</v>
      </c>
      <c r="D379" s="5">
        <v>15451</v>
      </c>
      <c r="E379" s="5" t="s">
        <v>242</v>
      </c>
      <c r="F379" s="3">
        <v>150000</v>
      </c>
      <c r="G379" s="3" t="s">
        <v>601</v>
      </c>
      <c r="H379" s="3" t="s">
        <v>598</v>
      </c>
      <c r="I379" s="6" t="s">
        <v>582</v>
      </c>
      <c r="J379" s="3" t="s">
        <v>721</v>
      </c>
      <c r="K379" s="7">
        <f>ROUND(13000,2)</f>
        <v>13000</v>
      </c>
      <c r="L379" s="5">
        <v>401020</v>
      </c>
      <c r="M379" s="5">
        <v>11384</v>
      </c>
    </row>
    <row r="380" spans="1:13" ht="15.75" x14ac:dyDescent="0.25">
      <c r="A380" s="5" t="s">
        <v>204</v>
      </c>
      <c r="B380" s="5" t="s">
        <v>241</v>
      </c>
      <c r="C380" s="5">
        <v>2</v>
      </c>
      <c r="D380" s="5">
        <v>15451</v>
      </c>
      <c r="E380" s="5" t="s">
        <v>242</v>
      </c>
      <c r="F380" s="3">
        <v>150000</v>
      </c>
      <c r="G380" s="3" t="s">
        <v>601</v>
      </c>
      <c r="H380" s="3" t="s">
        <v>598</v>
      </c>
      <c r="I380" s="6" t="s">
        <v>582</v>
      </c>
      <c r="J380" s="3" t="s">
        <v>721</v>
      </c>
      <c r="K380" s="7">
        <f>ROUND(2500,2)</f>
        <v>2500</v>
      </c>
      <c r="L380" s="5">
        <v>401020</v>
      </c>
      <c r="M380" s="5">
        <v>11384</v>
      </c>
    </row>
    <row r="381" spans="1:13" ht="15.75" x14ac:dyDescent="0.25">
      <c r="A381" s="5" t="s">
        <v>204</v>
      </c>
      <c r="B381" s="5" t="s">
        <v>241</v>
      </c>
      <c r="C381" s="5">
        <v>3</v>
      </c>
      <c r="D381" s="5">
        <v>15451</v>
      </c>
      <c r="E381" s="5" t="s">
        <v>242</v>
      </c>
      <c r="F381" s="3">
        <v>150000</v>
      </c>
      <c r="G381" s="3" t="s">
        <v>601</v>
      </c>
      <c r="H381" s="3" t="s">
        <v>598</v>
      </c>
      <c r="I381" s="6" t="s">
        <v>582</v>
      </c>
      <c r="J381" s="3" t="s">
        <v>721</v>
      </c>
      <c r="K381" s="7">
        <f>ROUND(12000,2)</f>
        <v>12000</v>
      </c>
      <c r="L381" s="5">
        <v>401020</v>
      </c>
      <c r="M381" s="5">
        <v>11384</v>
      </c>
    </row>
  </sheetData>
  <autoFilter ref="A1:M381" xr:uid="{00000000-0001-0000-0000-000000000000}"/>
  <sortState xmlns:xlrd2="http://schemas.microsoft.com/office/spreadsheetml/2017/richdata2" ref="A2:L381">
    <sortCondition ref="B2:B381"/>
    <sortCondition ref="C2:C381"/>
  </sortState>
  <pageMargins left="0.25" right="0.25" top="0.25" bottom="0.75" header="0.25" footer="0.2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Lomas</dc:creator>
  <cp:lastModifiedBy>Alison Lomas</cp:lastModifiedBy>
  <dcterms:created xsi:type="dcterms:W3CDTF">2025-10-01T10:15:51Z</dcterms:created>
  <dcterms:modified xsi:type="dcterms:W3CDTF">2025-10-01T11:14:16Z</dcterms:modified>
</cp:coreProperties>
</file>