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nfps\FinSup\FINANCIAL SYSTEMS &amp; CONTROL\Systems Support and Maintenance Team\500 Spend\+5000 PO Report\2024-25\"/>
    </mc:Choice>
  </mc:AlternateContent>
  <xr:revisionPtr revIDLastSave="0" documentId="13_ncr:1_{C6E990B1-6675-4683-B4C1-6381D0D07912}" xr6:coauthVersionLast="47" xr6:coauthVersionMax="47" xr10:uidLastSave="{00000000-0000-0000-0000-000000000000}"/>
  <bookViews>
    <workbookView xWindow="5415" yWindow="240" windowWidth="22485" windowHeight="14715" xr2:uid="{00000000-000D-0000-FFFF-FFFF00000000}"/>
  </bookViews>
  <sheets>
    <sheet name="Report" sheetId="1" r:id="rId1"/>
  </sheets>
  <externalReferences>
    <externalReference r:id="rId2"/>
  </externalReferences>
  <definedNames>
    <definedName name="__bookmark_2">Report!$B$1:$L$519</definedName>
    <definedName name="_xlnm._FilterDatabase" localSheetId="0" hidden="1">Report!$A$1:$M$519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2" i="1"/>
  <c r="K2" i="1"/>
  <c r="K518" i="1"/>
  <c r="K517" i="1"/>
  <c r="K516" i="1"/>
  <c r="K515" i="1"/>
  <c r="K514" i="1"/>
  <c r="K513" i="1"/>
  <c r="K512" i="1"/>
  <c r="K511" i="1"/>
  <c r="K510" i="1"/>
  <c r="K509" i="1"/>
  <c r="K502" i="1"/>
  <c r="K501" i="1"/>
  <c r="K500" i="1"/>
  <c r="K508" i="1"/>
  <c r="K487" i="1"/>
  <c r="K507" i="1"/>
  <c r="K486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5" i="1"/>
  <c r="K506" i="1"/>
  <c r="K471" i="1"/>
  <c r="K470" i="1"/>
  <c r="K475" i="1"/>
  <c r="K474" i="1"/>
  <c r="K473" i="1"/>
  <c r="K469" i="1"/>
  <c r="K472" i="1"/>
  <c r="K468" i="1"/>
  <c r="K467" i="1"/>
  <c r="K466" i="1"/>
  <c r="K465" i="1"/>
  <c r="K464" i="1"/>
  <c r="K463" i="1"/>
  <c r="K505" i="1"/>
  <c r="K519" i="1"/>
  <c r="K504" i="1"/>
  <c r="K462" i="1"/>
  <c r="K484" i="1"/>
  <c r="K461" i="1"/>
  <c r="K482" i="1"/>
  <c r="K481" i="1"/>
  <c r="K480" i="1"/>
  <c r="K479" i="1"/>
  <c r="K478" i="1"/>
  <c r="K459" i="1"/>
  <c r="K458" i="1"/>
  <c r="K457" i="1"/>
  <c r="K452" i="1"/>
  <c r="K451" i="1"/>
  <c r="K503" i="1"/>
  <c r="K456" i="1"/>
  <c r="K455" i="1"/>
  <c r="K454" i="1"/>
  <c r="K453" i="1"/>
  <c r="K450" i="1"/>
  <c r="K449" i="1"/>
  <c r="K448" i="1"/>
  <c r="K447" i="1"/>
  <c r="K444" i="1"/>
  <c r="K443" i="1"/>
  <c r="K442" i="1"/>
  <c r="K483" i="1"/>
  <c r="K441" i="1"/>
  <c r="K440" i="1"/>
  <c r="K439" i="1"/>
  <c r="K438" i="1"/>
  <c r="K437" i="1"/>
  <c r="K436" i="1"/>
  <c r="K477" i="1"/>
  <c r="K476" i="1"/>
  <c r="K430" i="1"/>
  <c r="K434" i="1"/>
  <c r="K433" i="1"/>
  <c r="K432" i="1"/>
  <c r="K431" i="1"/>
  <c r="K446" i="1"/>
  <c r="K435" i="1"/>
  <c r="K429" i="1"/>
  <c r="K428" i="1"/>
  <c r="K427" i="1"/>
  <c r="K426" i="1"/>
  <c r="K425" i="1"/>
  <c r="K424" i="1"/>
  <c r="K423" i="1"/>
  <c r="K460" i="1"/>
  <c r="K417" i="1"/>
  <c r="K416" i="1"/>
  <c r="K415" i="1"/>
  <c r="K414" i="1"/>
  <c r="K413" i="1"/>
  <c r="K421" i="1"/>
  <c r="K420" i="1"/>
  <c r="K412" i="1"/>
  <c r="K445" i="1"/>
  <c r="K411" i="1"/>
  <c r="K405" i="1"/>
  <c r="K404" i="1"/>
  <c r="K403" i="1"/>
  <c r="K407" i="1"/>
  <c r="K406" i="1"/>
  <c r="K402" i="1"/>
  <c r="K370" i="1"/>
  <c r="K401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3" i="1"/>
  <c r="K369" i="1"/>
  <c r="K419" i="1"/>
  <c r="K410" i="1"/>
  <c r="K372" i="1"/>
  <c r="K368" i="1"/>
  <c r="K367" i="1"/>
  <c r="K400" i="1"/>
  <c r="K366" i="1"/>
  <c r="K365" i="1"/>
  <c r="K374" i="1"/>
  <c r="K371" i="1"/>
  <c r="K364" i="1"/>
  <c r="K362" i="1"/>
  <c r="K409" i="1"/>
  <c r="K361" i="1"/>
  <c r="K418" i="1"/>
  <c r="K408" i="1"/>
  <c r="K360" i="1"/>
  <c r="K359" i="1"/>
  <c r="K358" i="1"/>
  <c r="K357" i="1"/>
  <c r="K356" i="1"/>
  <c r="K422" i="1"/>
  <c r="K355" i="1"/>
  <c r="K354" i="1"/>
  <c r="K349" i="1"/>
  <c r="K353" i="1"/>
  <c r="K348" i="1"/>
  <c r="K347" i="1"/>
  <c r="K352" i="1"/>
  <c r="K351" i="1"/>
  <c r="K350" i="1"/>
  <c r="K346" i="1"/>
  <c r="K340" i="1"/>
  <c r="K344" i="1"/>
  <c r="K343" i="1"/>
  <c r="K342" i="1"/>
  <c r="K341" i="1"/>
  <c r="K339" i="1"/>
  <c r="K399" i="1"/>
  <c r="K334" i="1"/>
  <c r="K331" i="1"/>
  <c r="K333" i="1"/>
  <c r="K330" i="1"/>
  <c r="K329" i="1"/>
  <c r="K337" i="1"/>
  <c r="K336" i="1"/>
  <c r="K335" i="1"/>
  <c r="K332" i="1"/>
  <c r="K328" i="1"/>
  <c r="K363" i="1"/>
  <c r="K325" i="1"/>
  <c r="K398" i="1"/>
  <c r="K327" i="1"/>
  <c r="K338" i="1"/>
  <c r="K345" i="1"/>
  <c r="K324" i="1"/>
  <c r="K321" i="1"/>
  <c r="K320" i="1"/>
  <c r="K319" i="1"/>
  <c r="K318" i="1"/>
  <c r="K323" i="1"/>
  <c r="K317" i="1"/>
  <c r="K316" i="1"/>
  <c r="K315" i="1"/>
  <c r="K313" i="1"/>
  <c r="K312" i="1"/>
  <c r="K309" i="1"/>
  <c r="K308" i="1"/>
  <c r="K307" i="1"/>
  <c r="K306" i="1"/>
  <c r="K305" i="1"/>
  <c r="K282" i="1"/>
  <c r="K310" i="1"/>
  <c r="K304" i="1"/>
  <c r="K303" i="1"/>
  <c r="K284" i="1"/>
  <c r="K281" i="1"/>
  <c r="K272" i="1"/>
  <c r="K322" i="1"/>
  <c r="K271" i="1"/>
  <c r="K279" i="1"/>
  <c r="K278" i="1"/>
  <c r="K276" i="1"/>
  <c r="K274" i="1"/>
  <c r="K270" i="1"/>
  <c r="K269" i="1"/>
  <c r="K268" i="1"/>
  <c r="K267" i="1"/>
  <c r="K266" i="1"/>
  <c r="K265" i="1"/>
  <c r="K311" i="1"/>
  <c r="K302" i="1"/>
  <c r="K26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3" i="1"/>
  <c r="K280" i="1"/>
  <c r="K277" i="1"/>
  <c r="K275" i="1"/>
  <c r="K273" i="1"/>
  <c r="K264" i="1"/>
  <c r="K263" i="1"/>
  <c r="K261" i="1"/>
  <c r="K260" i="1"/>
  <c r="K397" i="1"/>
  <c r="K259" i="1"/>
  <c r="K251" i="1"/>
  <c r="K314" i="1"/>
  <c r="K250" i="1"/>
  <c r="K249" i="1"/>
  <c r="K248" i="1"/>
  <c r="K247" i="1"/>
  <c r="K246" i="1"/>
  <c r="K255" i="1"/>
  <c r="K254" i="1"/>
  <c r="K253" i="1"/>
  <c r="K252" i="1"/>
  <c r="K245" i="1"/>
  <c r="K244" i="1"/>
  <c r="K243" i="1"/>
  <c r="K258" i="1"/>
  <c r="K326" i="1"/>
  <c r="K242" i="1"/>
  <c r="K241" i="1"/>
  <c r="K237" i="1"/>
  <c r="K234" i="1"/>
  <c r="K233" i="1"/>
  <c r="K257" i="1"/>
  <c r="K240" i="1"/>
  <c r="K232" i="1"/>
  <c r="K231" i="1"/>
  <c r="K239" i="1"/>
  <c r="K236" i="1"/>
  <c r="K230" i="1"/>
  <c r="K229" i="1"/>
  <c r="K228" i="1"/>
  <c r="K227" i="1"/>
  <c r="K220" i="1"/>
  <c r="K219" i="1"/>
  <c r="K238" i="1"/>
  <c r="K235" i="1"/>
  <c r="K226" i="1"/>
  <c r="K396" i="1"/>
  <c r="K213" i="1"/>
  <c r="K217" i="1"/>
  <c r="K225" i="1"/>
  <c r="K212" i="1"/>
  <c r="K204" i="1"/>
  <c r="K211" i="1"/>
  <c r="K210" i="1"/>
  <c r="K209" i="1"/>
  <c r="K208" i="1"/>
  <c r="K224" i="1"/>
  <c r="K203" i="1"/>
  <c r="K205" i="1"/>
  <c r="K202" i="1"/>
  <c r="K256" i="1"/>
  <c r="K201" i="1"/>
  <c r="K216" i="1"/>
  <c r="K215" i="1"/>
  <c r="K214" i="1"/>
  <c r="K207" i="1"/>
  <c r="K223" i="1"/>
  <c r="K199" i="1"/>
  <c r="K196" i="1"/>
  <c r="K198" i="1"/>
  <c r="K195" i="1"/>
  <c r="K194" i="1"/>
  <c r="K193" i="1"/>
  <c r="K192" i="1"/>
  <c r="K191" i="1"/>
  <c r="K190" i="1"/>
  <c r="K187" i="1"/>
  <c r="K206" i="1"/>
  <c r="K189" i="1"/>
  <c r="K188" i="1"/>
  <c r="K186" i="1"/>
  <c r="K185" i="1"/>
  <c r="K222" i="1"/>
  <c r="K184" i="1"/>
  <c r="K183" i="1"/>
  <c r="K182" i="1"/>
  <c r="K180" i="1"/>
  <c r="K181" i="1"/>
  <c r="K178" i="1"/>
  <c r="K177" i="1"/>
  <c r="K179" i="1"/>
  <c r="K176" i="1"/>
  <c r="K172" i="1"/>
  <c r="K175" i="1"/>
  <c r="K174" i="1"/>
  <c r="K173" i="1"/>
  <c r="K171" i="1"/>
  <c r="K170" i="1"/>
  <c r="K169" i="1"/>
  <c r="K168" i="1"/>
  <c r="K163" i="1"/>
  <c r="K156" i="1"/>
  <c r="K154" i="1"/>
  <c r="K152" i="1"/>
  <c r="K150" i="1"/>
  <c r="K144" i="1"/>
  <c r="K221" i="1"/>
  <c r="K218" i="1"/>
  <c r="K143" i="1"/>
  <c r="K149" i="1"/>
  <c r="K142" i="1"/>
  <c r="K141" i="1"/>
  <c r="K140" i="1"/>
  <c r="K139" i="1"/>
  <c r="K162" i="1"/>
  <c r="K138" i="1"/>
  <c r="K137" i="1"/>
  <c r="K124" i="1"/>
  <c r="K148" i="1"/>
  <c r="K136" i="1"/>
  <c r="K167" i="1"/>
  <c r="K123" i="1"/>
  <c r="K147" i="1"/>
  <c r="K135" i="1"/>
  <c r="K166" i="1"/>
  <c r="K122" i="1"/>
  <c r="K121" i="1"/>
  <c r="K120" i="1"/>
  <c r="K116" i="1"/>
  <c r="K115" i="1"/>
  <c r="K134" i="1"/>
  <c r="K165" i="1"/>
  <c r="K164" i="1"/>
  <c r="K161" i="1"/>
  <c r="K114" i="1"/>
  <c r="K108" i="1"/>
  <c r="K113" i="1"/>
  <c r="K107" i="1"/>
  <c r="K106" i="1"/>
  <c r="K119" i="1"/>
  <c r="K133" i="1"/>
  <c r="K132" i="1"/>
  <c r="K131" i="1"/>
  <c r="K118" i="1"/>
  <c r="K105" i="1"/>
  <c r="K130" i="1"/>
  <c r="K129" i="1"/>
  <c r="K160" i="1"/>
  <c r="K159" i="1"/>
  <c r="K158" i="1"/>
  <c r="K157" i="1"/>
  <c r="K155" i="1"/>
  <c r="K153" i="1"/>
  <c r="K151" i="1"/>
  <c r="K146" i="1"/>
  <c r="K128" i="1"/>
  <c r="K104" i="1"/>
  <c r="K112" i="1"/>
  <c r="K111" i="1"/>
  <c r="K110" i="1"/>
  <c r="K109" i="1"/>
  <c r="K103" i="1"/>
  <c r="K99" i="1"/>
  <c r="K200" i="1"/>
  <c r="K102" i="1"/>
  <c r="K101" i="1"/>
  <c r="K127" i="1"/>
  <c r="K91" i="1"/>
  <c r="K90" i="1"/>
  <c r="K89" i="1"/>
  <c r="K94" i="1"/>
  <c r="K93" i="1"/>
  <c r="K88" i="1"/>
  <c r="K87" i="1"/>
  <c r="K86" i="1"/>
  <c r="K85" i="1"/>
  <c r="K84" i="1"/>
  <c r="K117" i="1"/>
  <c r="K92" i="1"/>
  <c r="K83" i="1"/>
  <c r="K145" i="1"/>
  <c r="K126" i="1"/>
  <c r="K98" i="1"/>
  <c r="K82" i="1"/>
  <c r="K81" i="1"/>
  <c r="K80" i="1"/>
  <c r="K79" i="1"/>
  <c r="K78" i="1"/>
  <c r="K97" i="1"/>
  <c r="K77" i="1"/>
  <c r="K76" i="1"/>
  <c r="K75" i="1"/>
  <c r="K74" i="1"/>
  <c r="K72" i="1"/>
  <c r="K69" i="1"/>
  <c r="K68" i="1"/>
  <c r="K61" i="1"/>
  <c r="K67" i="1"/>
  <c r="K66" i="1"/>
  <c r="K100" i="1"/>
  <c r="K60" i="1"/>
  <c r="K59" i="1"/>
  <c r="K57" i="1"/>
  <c r="K125" i="1"/>
  <c r="K56" i="1"/>
  <c r="K55" i="1"/>
  <c r="K96" i="1"/>
  <c r="K54" i="1"/>
  <c r="K70" i="1"/>
  <c r="K65" i="1"/>
  <c r="K58" i="1"/>
  <c r="K53" i="1"/>
  <c r="K64" i="1"/>
  <c r="K50" i="1"/>
  <c r="K95" i="1"/>
  <c r="K49" i="1"/>
  <c r="K47" i="1"/>
  <c r="K46" i="1"/>
  <c r="K48" i="1"/>
  <c r="K45" i="1"/>
  <c r="K44" i="1"/>
  <c r="K63" i="1"/>
  <c r="K197" i="1"/>
  <c r="K43" i="1"/>
  <c r="K35" i="1"/>
  <c r="K37" i="1"/>
  <c r="K34" i="1"/>
  <c r="K30" i="1"/>
  <c r="K52" i="1"/>
  <c r="K51" i="1"/>
  <c r="K29" i="1"/>
  <c r="K31" i="1"/>
  <c r="K28" i="1"/>
  <c r="K42" i="1"/>
  <c r="K27" i="1"/>
  <c r="K41" i="1"/>
  <c r="K40" i="1"/>
  <c r="K39" i="1"/>
  <c r="K38" i="1"/>
  <c r="K36" i="1"/>
  <c r="K33" i="1"/>
  <c r="K26" i="1"/>
  <c r="K32" i="1"/>
  <c r="K25" i="1"/>
  <c r="K24" i="1"/>
  <c r="K62" i="1"/>
  <c r="K23" i="1"/>
  <c r="K21" i="1"/>
  <c r="K20" i="1"/>
  <c r="K19" i="1"/>
  <c r="K18" i="1"/>
  <c r="K17" i="1"/>
  <c r="K16" i="1"/>
  <c r="K73" i="1"/>
  <c r="K71" i="1"/>
  <c r="K15" i="1"/>
  <c r="K9" i="1"/>
  <c r="K8" i="1"/>
  <c r="K7" i="1"/>
  <c r="K6" i="1"/>
  <c r="K5" i="1"/>
  <c r="K14" i="1"/>
  <c r="K4" i="1"/>
  <c r="K3" i="1"/>
  <c r="K13" i="1"/>
  <c r="K22" i="1"/>
  <c r="K12" i="1"/>
  <c r="K11" i="1"/>
  <c r="K10" i="1"/>
  <c r="K395" i="1"/>
</calcChain>
</file>

<file path=xl/sharedStrings.xml><?xml version="1.0" encoding="utf-8"?>
<sst xmlns="http://schemas.openxmlformats.org/spreadsheetml/2006/main" count="3226" uniqueCount="775">
  <si>
    <t>ZZH745481</t>
  </si>
  <si>
    <t>11/09/2024</t>
  </si>
  <si>
    <t>NHS Property Services Ltd</t>
  </si>
  <si>
    <t>02/07/2024</t>
  </si>
  <si>
    <t>08/07/2024</t>
  </si>
  <si>
    <t>01/07/2024</t>
  </si>
  <si>
    <t>04/07/2024</t>
  </si>
  <si>
    <t>Rehabilitation Manufacturin</t>
  </si>
  <si>
    <t>ZZH742580</t>
  </si>
  <si>
    <t>11/07/2024</t>
  </si>
  <si>
    <t>ZZH742563</t>
  </si>
  <si>
    <t>GEORGE COX &amp; SONS LTD</t>
  </si>
  <si>
    <t>C.01678.203</t>
  </si>
  <si>
    <t>ZZH742572</t>
  </si>
  <si>
    <t>KIDS</t>
  </si>
  <si>
    <t>03/07/2024</t>
  </si>
  <si>
    <t>23/07/2024</t>
  </si>
  <si>
    <t>12/07/2024</t>
  </si>
  <si>
    <t>ZZH742545</t>
  </si>
  <si>
    <t>Konica Minolta Business Soltns</t>
  </si>
  <si>
    <t>Totally Local Company Ltd</t>
  </si>
  <si>
    <t>Three Sixty SHG Ltd</t>
  </si>
  <si>
    <t>CBC Computer Systems Ltd</t>
  </si>
  <si>
    <t>22/07/2024</t>
  </si>
  <si>
    <t>1st Alarm Security</t>
  </si>
  <si>
    <t>ZZH742661</t>
  </si>
  <si>
    <t>Sutcliffe Play Ltd</t>
  </si>
  <si>
    <t>09/07/2024</t>
  </si>
  <si>
    <t>ZZH742616</t>
  </si>
  <si>
    <t>Coverdale Barclay</t>
  </si>
  <si>
    <t>The Heatons Conference Centre</t>
  </si>
  <si>
    <t>Child in Mind Ltd</t>
  </si>
  <si>
    <t>ZSB742488</t>
  </si>
  <si>
    <t>Secure and Protect Solutions L</t>
  </si>
  <si>
    <t>ZZH742497</t>
  </si>
  <si>
    <t>Hulley and Kirkwood</t>
  </si>
  <si>
    <t>C.11525.100</t>
  </si>
  <si>
    <t>ZZH742595</t>
  </si>
  <si>
    <t>Prospero Teaching</t>
  </si>
  <si>
    <t>ZSB742524</t>
  </si>
  <si>
    <t>Aspen Woodwork Ltd</t>
  </si>
  <si>
    <t>Age UK Stockport</t>
  </si>
  <si>
    <t>ZSB742522</t>
  </si>
  <si>
    <t>Containers Direct</t>
  </si>
  <si>
    <t>ZES742528</t>
  </si>
  <si>
    <t>Fibrelite (Northwest) Ltd</t>
  </si>
  <si>
    <t>C.11504.013</t>
  </si>
  <si>
    <t>05/07/2024</t>
  </si>
  <si>
    <t>ZZH742548</t>
  </si>
  <si>
    <t>Royal Mail</t>
  </si>
  <si>
    <t>ZZH742551</t>
  </si>
  <si>
    <t>ZZC742561</t>
  </si>
  <si>
    <t>Tiptoes Child Therapy Services</t>
  </si>
  <si>
    <t>Wilde Consultants Ltd</t>
  </si>
  <si>
    <t>ZZH743120</t>
  </si>
  <si>
    <t>Bond Solon Training Ltd</t>
  </si>
  <si>
    <t>Civica UK Ltd</t>
  </si>
  <si>
    <t>ZZH742617</t>
  </si>
  <si>
    <t>FUTURE DESIGN CONSULTANTS</t>
  </si>
  <si>
    <t>ZZH742594</t>
  </si>
  <si>
    <t>Teaching Personnel Ltd</t>
  </si>
  <si>
    <t>ZZH742593</t>
  </si>
  <si>
    <t>Gateway Psychology Ltd</t>
  </si>
  <si>
    <t>Aspire Therapy Services Ltd</t>
  </si>
  <si>
    <t>ZZH742630</t>
  </si>
  <si>
    <t>ZZH742667</t>
  </si>
  <si>
    <t>Citizens Advice SORT Group</t>
  </si>
  <si>
    <t>Transport for Greater Manchest</t>
  </si>
  <si>
    <t>ZZH743086</t>
  </si>
  <si>
    <t>C.01477.203</t>
  </si>
  <si>
    <t>SMC Premier Cleaning ltd</t>
  </si>
  <si>
    <t>C.10004.001</t>
  </si>
  <si>
    <t>General Utilities Northwest</t>
  </si>
  <si>
    <t>15/07/2024</t>
  </si>
  <si>
    <t>C.10423.184</t>
  </si>
  <si>
    <t>ZZH742669</t>
  </si>
  <si>
    <t>MISS SARA A MANN - Legal/Law</t>
  </si>
  <si>
    <t>ZZC742672</t>
  </si>
  <si>
    <t>MANCHESTER DEAF CENTRE LTD</t>
  </si>
  <si>
    <t>ZZC742742</t>
  </si>
  <si>
    <t>ZZH742687</t>
  </si>
  <si>
    <t>Massey and Harris(Engineering)</t>
  </si>
  <si>
    <t>C.10775</t>
  </si>
  <si>
    <t>ZZH742746</t>
  </si>
  <si>
    <t>Reed Specialist Recruitment Lt</t>
  </si>
  <si>
    <t>16/07/2024</t>
  </si>
  <si>
    <t>TERMSTALL LTD</t>
  </si>
  <si>
    <t>10/07/2024</t>
  </si>
  <si>
    <t>ZZH742715</t>
  </si>
  <si>
    <t>Korn Ferry (UK) Ltd</t>
  </si>
  <si>
    <t>ZZH742842</t>
  </si>
  <si>
    <t>Ridge and Partners LLP</t>
  </si>
  <si>
    <t>ZZH742703</t>
  </si>
  <si>
    <t>Broxap Ltd</t>
  </si>
  <si>
    <t>ZZH742717</t>
  </si>
  <si>
    <t>ZZH742922</t>
  </si>
  <si>
    <t>Mott MacDonald Ltd</t>
  </si>
  <si>
    <t>ZZH742923</t>
  </si>
  <si>
    <t>ZZH742722</t>
  </si>
  <si>
    <t>AAT (GB) Ltd</t>
  </si>
  <si>
    <t>ZZC742762</t>
  </si>
  <si>
    <t>Gill Nevitt t/a Calm Space The</t>
  </si>
  <si>
    <t>ZSB742765</t>
  </si>
  <si>
    <t>Bespoke Shelters</t>
  </si>
  <si>
    <t>ZZH742787</t>
  </si>
  <si>
    <t>TSOM Mentoring LTD</t>
  </si>
  <si>
    <t>ZTR744080</t>
  </si>
  <si>
    <t>05/08/2024</t>
  </si>
  <si>
    <t>Barbour Logic Ltd</t>
  </si>
  <si>
    <t>ZZH743075</t>
  </si>
  <si>
    <t>AtkinsRéalis UK Limited</t>
  </si>
  <si>
    <t>ZMH742825</t>
  </si>
  <si>
    <t>ZZC742832</t>
  </si>
  <si>
    <t>Chroma Therapies Ltd</t>
  </si>
  <si>
    <t>ZZH742861</t>
  </si>
  <si>
    <t>Project Plan Services</t>
  </si>
  <si>
    <t>ZZH742841</t>
  </si>
  <si>
    <t>ZZH742838</t>
  </si>
  <si>
    <t>Ground Inc limited</t>
  </si>
  <si>
    <t>C.01540.203</t>
  </si>
  <si>
    <t>University of Manchester</t>
  </si>
  <si>
    <t>Normans(Burton Upon Trent)Ltd</t>
  </si>
  <si>
    <t>Waste Solutions SK Ltd</t>
  </si>
  <si>
    <t>ZZH742858</t>
  </si>
  <si>
    <t>ECS Consultants Limited</t>
  </si>
  <si>
    <t>Black Cat Building Consultancy</t>
  </si>
  <si>
    <t>ZZH743304</t>
  </si>
  <si>
    <t>17/07/2024</t>
  </si>
  <si>
    <t>C.01465.203</t>
  </si>
  <si>
    <t>Sapphire Utility Solutions Ltd</t>
  </si>
  <si>
    <t>ZZH742880</t>
  </si>
  <si>
    <t>ZZH743082</t>
  </si>
  <si>
    <t>C.01582.202</t>
  </si>
  <si>
    <t>ZZH742908</t>
  </si>
  <si>
    <t>ESE Ltd</t>
  </si>
  <si>
    <t>ZZH743033</t>
  </si>
  <si>
    <t>ZZH742906</t>
  </si>
  <si>
    <t>Temperley Taylor LLP</t>
  </si>
  <si>
    <t>ZZH743285</t>
  </si>
  <si>
    <t>C.01709.203</t>
  </si>
  <si>
    <t>ZES742913</t>
  </si>
  <si>
    <t>ElephantWifi</t>
  </si>
  <si>
    <t>ZZH742924</t>
  </si>
  <si>
    <t>MANCHESTER CITY COUNCIL SHARED</t>
  </si>
  <si>
    <t>18/07/2024</t>
  </si>
  <si>
    <t>ZZH743599</t>
  </si>
  <si>
    <t>ZZH742953</t>
  </si>
  <si>
    <t>Sunbelt Rentals Limited</t>
  </si>
  <si>
    <t>C.11054</t>
  </si>
  <si>
    <t>The Dodd Group</t>
  </si>
  <si>
    <t>ZZH743009</t>
  </si>
  <si>
    <t>Lisclare Ltd</t>
  </si>
  <si>
    <t>UK Container Maintenance Ltd</t>
  </si>
  <si>
    <t>Creative Ideas In Print</t>
  </si>
  <si>
    <t>ZZH743347</t>
  </si>
  <si>
    <t>Tameside MBC</t>
  </si>
  <si>
    <t>ZZH743023</t>
  </si>
  <si>
    <t>ZZH743013</t>
  </si>
  <si>
    <t>Stockport NHS Foundation Trust</t>
  </si>
  <si>
    <t>ZSB742995</t>
  </si>
  <si>
    <t>Elementary Technology Ltd</t>
  </si>
  <si>
    <t>Phoenix Software Ltd</t>
  </si>
  <si>
    <t>ZZH743036</t>
  </si>
  <si>
    <t>ZZH743074</t>
  </si>
  <si>
    <t>VolkerStevin Infrastructure Li</t>
  </si>
  <si>
    <t>OM Property UK Limited</t>
  </si>
  <si>
    <t>30/07/2024</t>
  </si>
  <si>
    <t>19/07/2024</t>
  </si>
  <si>
    <t>Stockport County 2010 Ltd</t>
  </si>
  <si>
    <t>SIGNPOST STOCKPORT for CARERS</t>
  </si>
  <si>
    <t>ZSB743102</t>
  </si>
  <si>
    <t>EDF ENERGY - Large Accounts</t>
  </si>
  <si>
    <t>One Education Ltd</t>
  </si>
  <si>
    <t>ZZH743146</t>
  </si>
  <si>
    <t>C.10304.264</t>
  </si>
  <si>
    <t>Pure Insight 1628 Ltd</t>
  </si>
  <si>
    <t>ZZH743283</t>
  </si>
  <si>
    <t>GROUNDWORK &amp; LEISURE SERVIC</t>
  </si>
  <si>
    <t>ZZH743140</t>
  </si>
  <si>
    <t>C.10378.251</t>
  </si>
  <si>
    <t>C.11523.004</t>
  </si>
  <si>
    <t>Netcall Technology Limited</t>
  </si>
  <si>
    <t>Stearn Electric Co Ltd</t>
  </si>
  <si>
    <t>ZZH743180</t>
  </si>
  <si>
    <t>Anna Berry</t>
  </si>
  <si>
    <t>ZZH743196</t>
  </si>
  <si>
    <t>The Together Trust Centre</t>
  </si>
  <si>
    <t>25/07/2024</t>
  </si>
  <si>
    <t>29/07/2024</t>
  </si>
  <si>
    <t>ZZH743193</t>
  </si>
  <si>
    <t>C.00620.201</t>
  </si>
  <si>
    <t>ZZH743191</t>
  </si>
  <si>
    <t>C.10427.188</t>
  </si>
  <si>
    <t>ZZH743280</t>
  </si>
  <si>
    <t>IPL Plastics Ltd</t>
  </si>
  <si>
    <t>ZZH743560</t>
  </si>
  <si>
    <t>ZSB743210</t>
  </si>
  <si>
    <t>ZHS743469</t>
  </si>
  <si>
    <t>Jones Lang Lasalle Ltd</t>
  </si>
  <si>
    <t>C.11020.150</t>
  </si>
  <si>
    <t>C.11523.005</t>
  </si>
  <si>
    <t>ZZC743203</t>
  </si>
  <si>
    <t>ZZH743204</t>
  </si>
  <si>
    <t>Thomas Kershaw Builders</t>
  </si>
  <si>
    <t>C.11507.003</t>
  </si>
  <si>
    <t>Malcolm Hughes Land Survey</t>
  </si>
  <si>
    <t>ZZH743223</t>
  </si>
  <si>
    <t>Greater Manchester Combined Au</t>
  </si>
  <si>
    <t>ZZH743227</t>
  </si>
  <si>
    <t>Exvista Business Services Ltd</t>
  </si>
  <si>
    <t>ZZH743231</t>
  </si>
  <si>
    <t>Howard Lynn Property Ltd</t>
  </si>
  <si>
    <t>Skills and Education Group Awa</t>
  </si>
  <si>
    <t>ZZH743252</t>
  </si>
  <si>
    <t>C.10427.364</t>
  </si>
  <si>
    <t>ZZH743253</t>
  </si>
  <si>
    <t>C.10314.164</t>
  </si>
  <si>
    <t>ZZH743602</t>
  </si>
  <si>
    <t>PROQUEST INFORMATION &amp; LEARNIN</t>
  </si>
  <si>
    <t>ZZH743376</t>
  </si>
  <si>
    <t>ZZH743363</t>
  </si>
  <si>
    <t>CBRE Limited</t>
  </si>
  <si>
    <t>Safe and Secure Solutions Ltd</t>
  </si>
  <si>
    <t>ATG Access Ltd</t>
  </si>
  <si>
    <t>ZZH744165</t>
  </si>
  <si>
    <t>06/08/2024</t>
  </si>
  <si>
    <t>MetDesk Limited</t>
  </si>
  <si>
    <t>ZZH743324</t>
  </si>
  <si>
    <t>Bellrock Property and Facilite</t>
  </si>
  <si>
    <t>ZZH743346</t>
  </si>
  <si>
    <t>ZZH743362</t>
  </si>
  <si>
    <t>ZZC743578</t>
  </si>
  <si>
    <t>ZZH743590</t>
  </si>
  <si>
    <t>ZZH743610</t>
  </si>
  <si>
    <t>ZZH743375</t>
  </si>
  <si>
    <t>ZZH743476</t>
  </si>
  <si>
    <t>ZZH743589</t>
  </si>
  <si>
    <t>ZZH743588</t>
  </si>
  <si>
    <t>ZZH743630</t>
  </si>
  <si>
    <t>ZZH743535</t>
  </si>
  <si>
    <t>ZZH743392</t>
  </si>
  <si>
    <t>Horticon Ltd</t>
  </si>
  <si>
    <t>ZZH743390</t>
  </si>
  <si>
    <t>BCL Manchester</t>
  </si>
  <si>
    <t>ZZH743405</t>
  </si>
  <si>
    <t>C.01693.202</t>
  </si>
  <si>
    <t>ZZH743394</t>
  </si>
  <si>
    <t>ZZH743449</t>
  </si>
  <si>
    <t>SpeechWise Speech and Language</t>
  </si>
  <si>
    <t>24/07/2024</t>
  </si>
  <si>
    <t>C.11006.001</t>
  </si>
  <si>
    <t>ZZH743661</t>
  </si>
  <si>
    <t>ZZH743617</t>
  </si>
  <si>
    <t>C.01583.202</t>
  </si>
  <si>
    <t>ZZH743451</t>
  </si>
  <si>
    <t>Reflex Systems Limited</t>
  </si>
  <si>
    <t>ZZC743452</t>
  </si>
  <si>
    <t>ZZH743537</t>
  </si>
  <si>
    <t>Simon Crabtree</t>
  </si>
  <si>
    <t>ZZH743490</t>
  </si>
  <si>
    <t>Miss Kathleen Halliday</t>
  </si>
  <si>
    <t>ZZH743531</t>
  </si>
  <si>
    <t>WSP GROUP PLC</t>
  </si>
  <si>
    <t>C.01712.201</t>
  </si>
  <si>
    <t>GMCA - GMUTC</t>
  </si>
  <si>
    <t>ZZH743699</t>
  </si>
  <si>
    <t>ZZH743629</t>
  </si>
  <si>
    <t>ZZH743515</t>
  </si>
  <si>
    <t>C.11517</t>
  </si>
  <si>
    <t>ZZH743698</t>
  </si>
  <si>
    <t>ZZH743628</t>
  </si>
  <si>
    <t>Collective Space</t>
  </si>
  <si>
    <t>12/08/2024</t>
  </si>
  <si>
    <t>ZZH743529</t>
  </si>
  <si>
    <t>AECOM Limited</t>
  </si>
  <si>
    <t>ZSB743580</t>
  </si>
  <si>
    <t>ZZH743549</t>
  </si>
  <si>
    <t>C.11506</t>
  </si>
  <si>
    <t>ZZH743680</t>
  </si>
  <si>
    <t>TRP Consulting Ltd</t>
  </si>
  <si>
    <t>ZZC743566</t>
  </si>
  <si>
    <t>ZZH743612</t>
  </si>
  <si>
    <t>C.01626.203</t>
  </si>
  <si>
    <t>Bibliotheca Ltd</t>
  </si>
  <si>
    <t>14/08/2024</t>
  </si>
  <si>
    <t>ZZH743611</t>
  </si>
  <si>
    <t>ZZH743609</t>
  </si>
  <si>
    <t>4 Mental Health Ltd</t>
  </si>
  <si>
    <t>08/08/2024</t>
  </si>
  <si>
    <t>Valuation Office Agency</t>
  </si>
  <si>
    <t>ZZH743614</t>
  </si>
  <si>
    <t>Research in Practice</t>
  </si>
  <si>
    <t>ZZH744351</t>
  </si>
  <si>
    <t>09/08/2024</t>
  </si>
  <si>
    <t>C.01248.203</t>
  </si>
  <si>
    <t>07/08/2024</t>
  </si>
  <si>
    <t>ZZH743626</t>
  </si>
  <si>
    <t>Lexis Nexis UK</t>
  </si>
  <si>
    <t>26/07/2024</t>
  </si>
  <si>
    <t>31/07/2024</t>
  </si>
  <si>
    <t>ZZH743679</t>
  </si>
  <si>
    <t>Manchester and Cheshire Constr</t>
  </si>
  <si>
    <t>Daydawn Therapeutic Services</t>
  </si>
  <si>
    <t>JR Foy and Son Ltd</t>
  </si>
  <si>
    <t>ZZH743705</t>
  </si>
  <si>
    <t>ZZH743704</t>
  </si>
  <si>
    <t>ZZH743703</t>
  </si>
  <si>
    <t>ZZH743707</t>
  </si>
  <si>
    <t>City New &amp; Used Office Furnitu</t>
  </si>
  <si>
    <t>C.11523.001</t>
  </si>
  <si>
    <t>ZZC743709</t>
  </si>
  <si>
    <t>Foundation 92</t>
  </si>
  <si>
    <t>ZZH743729</t>
  </si>
  <si>
    <t>Post Office Limited</t>
  </si>
  <si>
    <t>ZZC743748</t>
  </si>
  <si>
    <t>ZZH743742</t>
  </si>
  <si>
    <t>ZZH743737</t>
  </si>
  <si>
    <t>C.01683.203</t>
  </si>
  <si>
    <t>01/08/2024</t>
  </si>
  <si>
    <t>ZZH743835</t>
  </si>
  <si>
    <t>C.10405.230</t>
  </si>
  <si>
    <t>ZZH743806</t>
  </si>
  <si>
    <t>C.10398.251</t>
  </si>
  <si>
    <t>ZZH743838</t>
  </si>
  <si>
    <t>C.11523.003</t>
  </si>
  <si>
    <t>ZZH743817</t>
  </si>
  <si>
    <t>Grassroots Recruitment Ltd</t>
  </si>
  <si>
    <t>ZZH743868</t>
  </si>
  <si>
    <t>ZZH744400</t>
  </si>
  <si>
    <t>The Manchester College (MANCAT</t>
  </si>
  <si>
    <t>21/08/2024</t>
  </si>
  <si>
    <t>A Pacini Ltd</t>
  </si>
  <si>
    <t>ZSB743892</t>
  </si>
  <si>
    <t>ZZH743911</t>
  </si>
  <si>
    <t>ZZC744236</t>
  </si>
  <si>
    <t>02/08/2024</t>
  </si>
  <si>
    <t>ZZH743928</t>
  </si>
  <si>
    <t>Integra Buildings</t>
  </si>
  <si>
    <t>15/08/2024</t>
  </si>
  <si>
    <t>16/08/2024</t>
  </si>
  <si>
    <t>Reed Talent Solution Ltd</t>
  </si>
  <si>
    <t>ZZH743962</t>
  </si>
  <si>
    <t>19/08/2024</t>
  </si>
  <si>
    <t>BT Plc (Openreach)</t>
  </si>
  <si>
    <t>ZZH743976</t>
  </si>
  <si>
    <t>ZZH743979</t>
  </si>
  <si>
    <t>ZZH743978</t>
  </si>
  <si>
    <t>ZZH744026</t>
  </si>
  <si>
    <t>The Fostering Network</t>
  </si>
  <si>
    <t>ZZH744030</t>
  </si>
  <si>
    <t>Advanced Health and Care Ltd</t>
  </si>
  <si>
    <t>ZZH744066</t>
  </si>
  <si>
    <t>Locala Community Partnership</t>
  </si>
  <si>
    <t>ZZH744033</t>
  </si>
  <si>
    <t>Robertson Construction Group L</t>
  </si>
  <si>
    <t>Stockport Active CIC</t>
  </si>
  <si>
    <t>ZZH744127</t>
  </si>
  <si>
    <t>Euro Digital Systems LTD</t>
  </si>
  <si>
    <t>ZTR744368</t>
  </si>
  <si>
    <t>Flowbird Smart City UK Limited</t>
  </si>
  <si>
    <t>ZZH744187</t>
  </si>
  <si>
    <t>C.01436.201</t>
  </si>
  <si>
    <t>ZZH744174</t>
  </si>
  <si>
    <t>ZZC744652</t>
  </si>
  <si>
    <t>13/08/2024</t>
  </si>
  <si>
    <t>ZZH744149</t>
  </si>
  <si>
    <t>ZZH744150</t>
  </si>
  <si>
    <t>Coating Services Ltd</t>
  </si>
  <si>
    <t>C.01719.203</t>
  </si>
  <si>
    <t>ZZH744405</t>
  </si>
  <si>
    <t>ZZH744226</t>
  </si>
  <si>
    <t>ZZH744186</t>
  </si>
  <si>
    <t>ZZH744225</t>
  </si>
  <si>
    <t>C.01606.202</t>
  </si>
  <si>
    <t>ZZH744159</t>
  </si>
  <si>
    <t>C.01656.203</t>
  </si>
  <si>
    <t>03/09/2024</t>
  </si>
  <si>
    <t>ZZH744199</t>
  </si>
  <si>
    <t>TMT Commercial Contractors</t>
  </si>
  <si>
    <t>C.00718.203</t>
  </si>
  <si>
    <t>ZZH744369</t>
  </si>
  <si>
    <t>Sanderson Weatherall</t>
  </si>
  <si>
    <t>ZZH744301</t>
  </si>
  <si>
    <t>Tarmac Trading Ltd</t>
  </si>
  <si>
    <t>ZZH744244</t>
  </si>
  <si>
    <t>ZZH745480</t>
  </si>
  <si>
    <t>ZZH744363</t>
  </si>
  <si>
    <t>ZZC744326</t>
  </si>
  <si>
    <t>ZZC744324</t>
  </si>
  <si>
    <t>20/08/2024</t>
  </si>
  <si>
    <t>04/09/2024</t>
  </si>
  <si>
    <t>ZZH744415</t>
  </si>
  <si>
    <t>NGA NATIONAL GOVERNORS ASSOCIA</t>
  </si>
  <si>
    <t>ZZH744370</t>
  </si>
  <si>
    <t>KPMG LLP ADVISORY</t>
  </si>
  <si>
    <t>ZZH744372</t>
  </si>
  <si>
    <t>ZZH744382</t>
  </si>
  <si>
    <t>ZZH744404</t>
  </si>
  <si>
    <t>ZZH744420</t>
  </si>
  <si>
    <t>ZZH744425</t>
  </si>
  <si>
    <t>Last Drop Village Hotel &amp; Spa</t>
  </si>
  <si>
    <t>ZZH744635</t>
  </si>
  <si>
    <t>ZZH744407</t>
  </si>
  <si>
    <t>ZZH744414</t>
  </si>
  <si>
    <t>ZZH744467</t>
  </si>
  <si>
    <t>Paragon Customer Communication</t>
  </si>
  <si>
    <t>27/08/2024</t>
  </si>
  <si>
    <t>ZZH744478</t>
  </si>
  <si>
    <t>ZZH745210</t>
  </si>
  <si>
    <t>ZZH744644</t>
  </si>
  <si>
    <t>Depaul UK</t>
  </si>
  <si>
    <t>ZZH744550</t>
  </si>
  <si>
    <t>ZZH744548</t>
  </si>
  <si>
    <t>ZZH744563</t>
  </si>
  <si>
    <t>SEP2 Limited</t>
  </si>
  <si>
    <t>ZZH744580</t>
  </si>
  <si>
    <t>ZZH744581</t>
  </si>
  <si>
    <t>ZZH744582</t>
  </si>
  <si>
    <t>ZZC744623</t>
  </si>
  <si>
    <t>ZZH744602</t>
  </si>
  <si>
    <t>ELECTRICITY NORTH WEST LIMITED</t>
  </si>
  <si>
    <t>C.01615.202</t>
  </si>
  <si>
    <t>ZZH744982</t>
  </si>
  <si>
    <t>28/08/2024</t>
  </si>
  <si>
    <t>ZZH744617</t>
  </si>
  <si>
    <t>C.01617.201</t>
  </si>
  <si>
    <t>ZZH744664</t>
  </si>
  <si>
    <t>ZZH745532</t>
  </si>
  <si>
    <t>New Bridge Multi Academy Group</t>
  </si>
  <si>
    <t>22/08/2024</t>
  </si>
  <si>
    <t>ZZH744675</t>
  </si>
  <si>
    <t>South Manchester Care</t>
  </si>
  <si>
    <t>29/08/2024</t>
  </si>
  <si>
    <t>ZSB744691</t>
  </si>
  <si>
    <t>Pearson Education Limited</t>
  </si>
  <si>
    <t>ZZH744810</t>
  </si>
  <si>
    <t>Atkins Limited</t>
  </si>
  <si>
    <t>ZES744818</t>
  </si>
  <si>
    <t>02/09/2024</t>
  </si>
  <si>
    <t>Swan Family Centres LTD</t>
  </si>
  <si>
    <t>ZES744842</t>
  </si>
  <si>
    <t>ZZH744717</t>
  </si>
  <si>
    <t>CDW Ltd</t>
  </si>
  <si>
    <t>ZZH744884</t>
  </si>
  <si>
    <t>23/08/2024</t>
  </si>
  <si>
    <t>Virgin Media Ltd</t>
  </si>
  <si>
    <t>C.01511.202</t>
  </si>
  <si>
    <t>ZZH744924</t>
  </si>
  <si>
    <t>Royal Mail Group Ltd.</t>
  </si>
  <si>
    <t>ZZH744774</t>
  </si>
  <si>
    <t>Active Communities Experiences</t>
  </si>
  <si>
    <t>ZZH744777</t>
  </si>
  <si>
    <t>ZZH744776</t>
  </si>
  <si>
    <t>ZZH744775</t>
  </si>
  <si>
    <t>Seashell Trust</t>
  </si>
  <si>
    <t>ZZH744783</t>
  </si>
  <si>
    <t>ZZH744795</t>
  </si>
  <si>
    <t>ZZH744801</t>
  </si>
  <si>
    <t>ZZC745105</t>
  </si>
  <si>
    <t>Link Maker Systems Ltd.</t>
  </si>
  <si>
    <t>ZZH744809</t>
  </si>
  <si>
    <t>C.01250.201</t>
  </si>
  <si>
    <t>ZZH744857</t>
  </si>
  <si>
    <t>Starting Point Community Learn</t>
  </si>
  <si>
    <t>ZZH744902</t>
  </si>
  <si>
    <t>C.01615.203</t>
  </si>
  <si>
    <t>ZAV744893</t>
  </si>
  <si>
    <t>ZZH744864</t>
  </si>
  <si>
    <t>16/09/2024</t>
  </si>
  <si>
    <t>ZZH744901</t>
  </si>
  <si>
    <t>Virgin Media Access Network Pl</t>
  </si>
  <si>
    <t>ZZH744868</t>
  </si>
  <si>
    <t>Stockport Womens Centre</t>
  </si>
  <si>
    <t>ZTR744875</t>
  </si>
  <si>
    <t>ZZH744899</t>
  </si>
  <si>
    <t>ZZH744900</t>
  </si>
  <si>
    <t>ZZC744915</t>
  </si>
  <si>
    <t>Parents and Children Together</t>
  </si>
  <si>
    <t>30/08/2024</t>
  </si>
  <si>
    <t>ZZH744950</t>
  </si>
  <si>
    <t>23/09/2024</t>
  </si>
  <si>
    <t>ZZH744979</t>
  </si>
  <si>
    <t>Allium Holding Ltd t/a Accuris</t>
  </si>
  <si>
    <t>19/09/2024</t>
  </si>
  <si>
    <t>ZFC744988</t>
  </si>
  <si>
    <t>North West Employers</t>
  </si>
  <si>
    <t>05/09/2024</t>
  </si>
  <si>
    <t>ZZH745022</t>
  </si>
  <si>
    <t>ZZH745094</t>
  </si>
  <si>
    <t>Cheshire East Borough Council.</t>
  </si>
  <si>
    <t>ZZH745035</t>
  </si>
  <si>
    <t>Beam Up Ltd</t>
  </si>
  <si>
    <t>ZZH745039</t>
  </si>
  <si>
    <t>FW Sherratt Ltd</t>
  </si>
  <si>
    <t>C.01697.203</t>
  </si>
  <si>
    <t>10/09/2024</t>
  </si>
  <si>
    <t>ZZH745060</t>
  </si>
  <si>
    <t>13/09/2024</t>
  </si>
  <si>
    <t>ZZH745068</t>
  </si>
  <si>
    <t>C.11086.100</t>
  </si>
  <si>
    <t>ZZC745092</t>
  </si>
  <si>
    <t>City of Wolverhampton Council</t>
  </si>
  <si>
    <t>06/09/2024</t>
  </si>
  <si>
    <t>NCFE</t>
  </si>
  <si>
    <t>09/09/2024</t>
  </si>
  <si>
    <t>17/09/2024</t>
  </si>
  <si>
    <t>ZZC745293</t>
  </si>
  <si>
    <t>ZZH745252</t>
  </si>
  <si>
    <t>ZZH745183</t>
  </si>
  <si>
    <t>SYSTRA Ltd</t>
  </si>
  <si>
    <t>C.01584.203</t>
  </si>
  <si>
    <t>12/09/2024</t>
  </si>
  <si>
    <t>ZZH745479</t>
  </si>
  <si>
    <t>Viaduct Care CIC</t>
  </si>
  <si>
    <t>ZZH745176</t>
  </si>
  <si>
    <t>ZZH745445</t>
  </si>
  <si>
    <t>ZZH745222</t>
  </si>
  <si>
    <t>ZZH745205</t>
  </si>
  <si>
    <t>ZZH745220</t>
  </si>
  <si>
    <t>ZTR745217</t>
  </si>
  <si>
    <t>Chipside Limited</t>
  </si>
  <si>
    <t>Pennine Care NHS Trust</t>
  </si>
  <si>
    <t>ZZH745533</t>
  </si>
  <si>
    <t>Navigators College Post 16</t>
  </si>
  <si>
    <t>ZES745240</t>
  </si>
  <si>
    <t>ZZH745248</t>
  </si>
  <si>
    <t>C.01702.203</t>
  </si>
  <si>
    <t>ZSB745296</t>
  </si>
  <si>
    <t>ZZH745306</t>
  </si>
  <si>
    <t>C.11502.112</t>
  </si>
  <si>
    <t>ZZH745320</t>
  </si>
  <si>
    <t>Tile Hill Interim &amp; Executive</t>
  </si>
  <si>
    <t>ZZH745360</t>
  </si>
  <si>
    <t>ZZC745340</t>
  </si>
  <si>
    <t>ZZC745353</t>
  </si>
  <si>
    <t>ZZC745352</t>
  </si>
  <si>
    <t>24/09/2024</t>
  </si>
  <si>
    <t>ZZH745691</t>
  </si>
  <si>
    <t>Oxygen Finance Limited</t>
  </si>
  <si>
    <t>ZZH745366</t>
  </si>
  <si>
    <t>ZZH745373</t>
  </si>
  <si>
    <t>ZTR745375</t>
  </si>
  <si>
    <t>ZZH745374</t>
  </si>
  <si>
    <t>ZZH745376</t>
  </si>
  <si>
    <t>ZZC745548</t>
  </si>
  <si>
    <t>ZZH745385</t>
  </si>
  <si>
    <t>ZZC745550</t>
  </si>
  <si>
    <t>Studio DBD</t>
  </si>
  <si>
    <t>ZZH745390</t>
  </si>
  <si>
    <t>ZZH745472</t>
  </si>
  <si>
    <t>Apollo Healthcare Technologies</t>
  </si>
  <si>
    <t>20/09/2024</t>
  </si>
  <si>
    <t>J A Jones + Sons</t>
  </si>
  <si>
    <t>ZZH745431</t>
  </si>
  <si>
    <t>ZZH745432</t>
  </si>
  <si>
    <t>Gala Lights Ltd</t>
  </si>
  <si>
    <t>ZZH745531</t>
  </si>
  <si>
    <t>Agricultural and Rural Centre</t>
  </si>
  <si>
    <t>ZZH745429</t>
  </si>
  <si>
    <t>30/09/2024</t>
  </si>
  <si>
    <t>ZZH745459</t>
  </si>
  <si>
    <t>ZZH745606</t>
  </si>
  <si>
    <t>Evidential Ltd</t>
  </si>
  <si>
    <t>ZZH745467</t>
  </si>
  <si>
    <t>ZZH745490</t>
  </si>
  <si>
    <t>ZZH745477</t>
  </si>
  <si>
    <t>Cadent Gas Limited</t>
  </si>
  <si>
    <t>ZZH745493</t>
  </si>
  <si>
    <t>ZZH745544</t>
  </si>
  <si>
    <t>ZZH745492</t>
  </si>
  <si>
    <t>ZZH745496</t>
  </si>
  <si>
    <t>C.01221.203</t>
  </si>
  <si>
    <t>ZZC745561</t>
  </si>
  <si>
    <t>Systemslink 2000 Ltd</t>
  </si>
  <si>
    <t>ZZH745892</t>
  </si>
  <si>
    <t>ZZH745592</t>
  </si>
  <si>
    <t>Freshworks</t>
  </si>
  <si>
    <t>ZZH745581</t>
  </si>
  <si>
    <t>ZZH745590</t>
  </si>
  <si>
    <t>The Laurus Trust (Cheadle Hulm</t>
  </si>
  <si>
    <t>C.10406.430</t>
  </si>
  <si>
    <t>ZZH745588</t>
  </si>
  <si>
    <t>C.11091.242</t>
  </si>
  <si>
    <t>ZZH745589</t>
  </si>
  <si>
    <t>C.11092.100</t>
  </si>
  <si>
    <t>ZZH745603</t>
  </si>
  <si>
    <t>ZZH746024</t>
  </si>
  <si>
    <t>Crainia Ltd</t>
  </si>
  <si>
    <t>ZZH745642</t>
  </si>
  <si>
    <t>ZZH745680</t>
  </si>
  <si>
    <t>ZZH745645</t>
  </si>
  <si>
    <t>ZZH745644</t>
  </si>
  <si>
    <t>ZZH745658</t>
  </si>
  <si>
    <t>ZZH745651</t>
  </si>
  <si>
    <t>Gaist Solutions Ltd</t>
  </si>
  <si>
    <t>C.01202.203</t>
  </si>
  <si>
    <t>18/09/2024</t>
  </si>
  <si>
    <t>ZZH745669</t>
  </si>
  <si>
    <t>ZZH745756</t>
  </si>
  <si>
    <t>Trafford Council</t>
  </si>
  <si>
    <t>ZZH745893</t>
  </si>
  <si>
    <t>ZZH745713</t>
  </si>
  <si>
    <t>ZZH745714</t>
  </si>
  <si>
    <t>ZZH745715</t>
  </si>
  <si>
    <t>Ascentis</t>
  </si>
  <si>
    <t>ZZH745712</t>
  </si>
  <si>
    <t>ZSB745678</t>
  </si>
  <si>
    <t>Thrive Approach</t>
  </si>
  <si>
    <t>ZZH746151</t>
  </si>
  <si>
    <t>25/09/2024</t>
  </si>
  <si>
    <t>ZZH746160</t>
  </si>
  <si>
    <t>David Ricketts</t>
  </si>
  <si>
    <t>C.01325.001</t>
  </si>
  <si>
    <t>ZZH745773</t>
  </si>
  <si>
    <t>ZZC745781</t>
  </si>
  <si>
    <t>ZZC745783</t>
  </si>
  <si>
    <t>ZZC745792</t>
  </si>
  <si>
    <t>ZZH745799</t>
  </si>
  <si>
    <t>ZZH745818</t>
  </si>
  <si>
    <t>C.01584.201</t>
  </si>
  <si>
    <t>ZZC746161</t>
  </si>
  <si>
    <t>26/09/2024</t>
  </si>
  <si>
    <t>ZZH745826</t>
  </si>
  <si>
    <t>MPH INSPECTION SERVICES</t>
  </si>
  <si>
    <t>ZZH745897</t>
  </si>
  <si>
    <t>Nisai Virtual Academy Ltd</t>
  </si>
  <si>
    <t>ZZH745883</t>
  </si>
  <si>
    <t>Capita Property &amp; Infrastructu</t>
  </si>
  <si>
    <t>ZZH745885</t>
  </si>
  <si>
    <t>C.01505.203</t>
  </si>
  <si>
    <t>ZAV745924</t>
  </si>
  <si>
    <t>ZZH746263</t>
  </si>
  <si>
    <t>Vivid Resourcing</t>
  </si>
  <si>
    <t>ZZH745891</t>
  </si>
  <si>
    <t>ZZH745931</t>
  </si>
  <si>
    <t>Bethell Construction Ltd</t>
  </si>
  <si>
    <t>C.01603.203</t>
  </si>
  <si>
    <t>ZZH745947</t>
  </si>
  <si>
    <t>ZZH745946</t>
  </si>
  <si>
    <t>ZZH745945</t>
  </si>
  <si>
    <t>ZZH746128</t>
  </si>
  <si>
    <t>ZZH746001</t>
  </si>
  <si>
    <t>ZZH746167</t>
  </si>
  <si>
    <t>ZZH746036</t>
  </si>
  <si>
    <t>ZZH746285</t>
  </si>
  <si>
    <t>ZZH746260</t>
  </si>
  <si>
    <t>ZZH746057</t>
  </si>
  <si>
    <t>ZZH746084</t>
  </si>
  <si>
    <t>ZSB746069</t>
  </si>
  <si>
    <t>ZZH746060</t>
  </si>
  <si>
    <t>27/09/2024</t>
  </si>
  <si>
    <t>ZZH746074</t>
  </si>
  <si>
    <t>Tilbury Douglas Construction L</t>
  </si>
  <si>
    <t>ZZH746075</t>
  </si>
  <si>
    <t>ZZH746077</t>
  </si>
  <si>
    <t>ZZH746093</t>
  </si>
  <si>
    <t>Yvonne Parker</t>
  </si>
  <si>
    <t>ZZC746104</t>
  </si>
  <si>
    <t>ZZC746259</t>
  </si>
  <si>
    <t>ZZS746176</t>
  </si>
  <si>
    <t>Tonetec Limited</t>
  </si>
  <si>
    <t>ZZH746174</t>
  </si>
  <si>
    <t>ZZC746322</t>
  </si>
  <si>
    <t>ZZH746188</t>
  </si>
  <si>
    <t>NEC Software Solutions UK Ltd</t>
  </si>
  <si>
    <t>ZZC746323</t>
  </si>
  <si>
    <t>Chrysalis Associates Ltd</t>
  </si>
  <si>
    <t>ZZH746214</t>
  </si>
  <si>
    <t>Truline Construction &amp; Interio</t>
  </si>
  <si>
    <t>C.11523.002</t>
  </si>
  <si>
    <t>ZZH746215</t>
  </si>
  <si>
    <t>ZZH746232</t>
  </si>
  <si>
    <t>ZZH746283</t>
  </si>
  <si>
    <t>ZZH746306</t>
  </si>
  <si>
    <t>C.01652.203</t>
  </si>
  <si>
    <t>ZZH746304</t>
  </si>
  <si>
    <t>ZZH746275</t>
  </si>
  <si>
    <t>Hemming Group Ltd</t>
  </si>
  <si>
    <t>ZZH746286</t>
  </si>
  <si>
    <t>ZZH746299</t>
  </si>
  <si>
    <t>ZZH746317</t>
  </si>
  <si>
    <t>Acorn Recovery Projects</t>
  </si>
  <si>
    <t>ZZH746330</t>
  </si>
  <si>
    <t>ZZH746335</t>
  </si>
  <si>
    <t>STOCKPORT &amp; DISTRICT MIND</t>
  </si>
  <si>
    <t>ZZH746329</t>
  </si>
  <si>
    <t>C.01700.203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</si>
  <si>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</si>
  <si>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</si>
  <si>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</si>
  <si>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</si>
  <si>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</si>
  <si>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</si>
  <si>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</si>
  <si>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</si>
  <si>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</si>
  <si>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</si>
  <si>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</si>
  <si>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</si>
  <si>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</si>
  <si>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Education Library Books </t>
  </si>
  <si>
    <t>Library Equipment</t>
  </si>
  <si>
    <t>Corporate and Support Services</t>
  </si>
  <si>
    <t xml:space="preserve">Works - Construction, Repair &amp; Maintenance  </t>
  </si>
  <si>
    <t>Repairs and Maintenance</t>
  </si>
  <si>
    <t>Services to People</t>
  </si>
  <si>
    <t xml:space="preserve">Environmental Services Technical Equipment </t>
  </si>
  <si>
    <t>Furniture and Equipment</t>
  </si>
  <si>
    <t xml:space="preserve">Furniture &amp; Soft Furnishings  </t>
  </si>
  <si>
    <t xml:space="preserve">Mail Services   </t>
  </si>
  <si>
    <t>Office Expenses</t>
  </si>
  <si>
    <t xml:space="preserve">Horticultural  </t>
  </si>
  <si>
    <t>Grounds Maintenance</t>
  </si>
  <si>
    <t>Supplies and services</t>
  </si>
  <si>
    <t>Services to Place</t>
  </si>
  <si>
    <t>Fees and Charges</t>
  </si>
  <si>
    <t xml:space="preserve">Consultancy   </t>
  </si>
  <si>
    <t>Professional Fees</t>
  </si>
  <si>
    <t xml:space="preserve">Human Resources Training &amp; Conferences </t>
  </si>
  <si>
    <t xml:space="preserve">Human Resources Interpretation &amp; Translation </t>
  </si>
  <si>
    <t xml:space="preserve">Human Resources  </t>
  </si>
  <si>
    <t>Staff Training</t>
  </si>
  <si>
    <t xml:space="preserve">UNCLASSIFIED  </t>
  </si>
  <si>
    <t>MISCLASSIFIED? CHECK BEFORE PUBLICATION</t>
  </si>
  <si>
    <t xml:space="preserve">Information Communication Technology  </t>
  </si>
  <si>
    <t>Information and Communications Technology</t>
  </si>
  <si>
    <t>Capital Expenditure - Works</t>
  </si>
  <si>
    <t>Environmental Services Waste Management</t>
  </si>
  <si>
    <t>Waste Management Equipment</t>
  </si>
  <si>
    <t xml:space="preserve">Legal Services  </t>
  </si>
  <si>
    <t>Legal Fees</t>
  </si>
  <si>
    <t xml:space="preserve">Financial Services Rents </t>
  </si>
  <si>
    <t>Rents</t>
  </si>
  <si>
    <t>Works - Construction, Repair &amp; Maintenance Buildings Surveys</t>
  </si>
  <si>
    <t>Capital Expenditure - Fees</t>
  </si>
  <si>
    <t xml:space="preserve">Healthcare Occupational Therapy Services </t>
  </si>
  <si>
    <t xml:space="preserve">Utilities   </t>
  </si>
  <si>
    <t>Utilities</t>
  </si>
  <si>
    <t xml:space="preserve">Facilities &amp; Management Services Printing </t>
  </si>
  <si>
    <t>Printing and Photocopying</t>
  </si>
  <si>
    <t xml:space="preserve">Financial Services  </t>
  </si>
  <si>
    <t xml:space="preserve">Social Community Care Supplies &amp; Services  </t>
  </si>
  <si>
    <t>Third party payments - Private/Voluntary Sector</t>
  </si>
  <si>
    <t xml:space="preserve">Facilities &amp; Management Services Security </t>
  </si>
  <si>
    <t>Security</t>
  </si>
  <si>
    <t xml:space="preserve">Healthcare  </t>
  </si>
  <si>
    <t>Third party payments - Public Sector</t>
  </si>
  <si>
    <t xml:space="preserve">Facilities &amp; Management Services  </t>
  </si>
  <si>
    <t xml:space="preserve">Consultancy  Property </t>
  </si>
  <si>
    <t>Service Contract Payments</t>
  </si>
  <si>
    <t xml:space="preserve">Cleaning &amp; Janitorial  </t>
  </si>
  <si>
    <t>Cleaning</t>
  </si>
  <si>
    <t xml:space="preserve">Arts &amp; Leisure Services  </t>
  </si>
  <si>
    <t>Publicity and Promotion</t>
  </si>
  <si>
    <t xml:space="preserve">Education  </t>
  </si>
  <si>
    <t>Welfare Payments</t>
  </si>
  <si>
    <t xml:space="preserve">Highway Equipment &amp; Materials    </t>
  </si>
  <si>
    <t>Highways Maintenance</t>
  </si>
  <si>
    <t xml:space="preserve">Financial Services Audit </t>
  </si>
  <si>
    <t xml:space="preserve">Catering  </t>
  </si>
  <si>
    <t>Expenses and Allowances</t>
  </si>
  <si>
    <t>Care Payments</t>
  </si>
  <si>
    <t xml:space="preserve">Environmental Services Waste Management </t>
  </si>
  <si>
    <t>Waste Management</t>
  </si>
  <si>
    <t xml:space="preserve">Vehicle Management Hire/Leasing </t>
  </si>
  <si>
    <t>Leasing /Transport Hire</t>
  </si>
  <si>
    <t xml:space="preserve">Human Resources Recruitment &amp; Assessment </t>
  </si>
  <si>
    <t>Advertising</t>
  </si>
  <si>
    <t>Other Payments</t>
  </si>
  <si>
    <t xml:space="preserve">Environmental Services Street Cleansing </t>
  </si>
  <si>
    <t xml:space="preserve">Education Examinational Fees </t>
  </si>
  <si>
    <t xml:space="preserve">Street &amp; Traffic Management  </t>
  </si>
  <si>
    <t>Fixtures and Fittings</t>
  </si>
  <si>
    <t xml:space="preserve">Vehicle Management  </t>
  </si>
  <si>
    <t>Driving and Vehicle Licences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</si>
</sst>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/>
    <xf numFmtId="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nfps\FinSup\FINANCIAL%20SYSTEMS%20&amp;%20CONTROL\Systems%20Support%20and%20Maintenance%20Team\500%20Spend\2024-25\Cost%20Centre%20and%20GL%20Lookups.xlsx" TargetMode="External"/><Relationship Id="rId1" Type="http://schemas.openxmlformats.org/officeDocument/2006/relationships/externalLinkPath" Target="/FINANCIAL%20SYSTEMS%20&amp;%20CONTROL/Systems%20Support%20and%20Maintenance%20Team/500%20Spend/2024-25/Cost%20Centre%20and%20GL%20Looku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ate"/>
      <sheetName val="Capital Codes (new)"/>
      <sheetName val="SERCOP"/>
      <sheetName val="GL Lookups"/>
    </sheetNames>
    <sheetDataSet>
      <sheetData sheetId="0">
        <row r="1">
          <cell r="A1" t="str">
            <v>Cost Centre</v>
          </cell>
          <cell r="B1" t="str">
            <v>Name</v>
          </cell>
        </row>
        <row r="2">
          <cell r="A2">
            <v>10000</v>
          </cell>
          <cell r="B2" t="str">
            <v>Armoury Street CP</v>
          </cell>
        </row>
        <row r="3">
          <cell r="A3">
            <v>10001</v>
          </cell>
          <cell r="B3" t="str">
            <v>Bamford Street CP</v>
          </cell>
        </row>
        <row r="4">
          <cell r="A4">
            <v>10002</v>
          </cell>
          <cell r="B4" t="str">
            <v>Banbury Street CP</v>
          </cell>
        </row>
        <row r="5">
          <cell r="A5">
            <v>10003</v>
          </cell>
          <cell r="B5" t="str">
            <v>Belmont Street CP</v>
          </cell>
        </row>
        <row r="6">
          <cell r="A6">
            <v>10004</v>
          </cell>
          <cell r="B6" t="str">
            <v>Bramhall Area CP</v>
          </cell>
        </row>
        <row r="7">
          <cell r="A7">
            <v>10005</v>
          </cell>
          <cell r="B7" t="str">
            <v>Car Parks Admin</v>
          </cell>
        </row>
        <row r="8">
          <cell r="A8">
            <v>10006</v>
          </cell>
          <cell r="B8" t="str">
            <v>CCTV Monitoring CP</v>
          </cell>
        </row>
        <row r="9">
          <cell r="A9">
            <v>10007</v>
          </cell>
          <cell r="B9" t="str">
            <v>Charles Street CP</v>
          </cell>
        </row>
        <row r="10">
          <cell r="A10">
            <v>10008</v>
          </cell>
          <cell r="B10" t="str">
            <v>Cheadle Area CP</v>
          </cell>
        </row>
        <row r="11">
          <cell r="A11">
            <v>10009</v>
          </cell>
          <cell r="B11" t="str">
            <v>Cheadle Hulme Area C</v>
          </cell>
        </row>
        <row r="12">
          <cell r="A12">
            <v>10010</v>
          </cell>
          <cell r="B12" t="str">
            <v>Cheadle Hulme CP</v>
          </cell>
        </row>
        <row r="13">
          <cell r="A13">
            <v>10011</v>
          </cell>
          <cell r="B13" t="str">
            <v>Cheadle Town.C CP</v>
          </cell>
        </row>
        <row r="14">
          <cell r="A14">
            <v>10012</v>
          </cell>
          <cell r="B14" t="str">
            <v>Churchgate CP</v>
          </cell>
        </row>
        <row r="15">
          <cell r="A15">
            <v>10013</v>
          </cell>
          <cell r="B15" t="str">
            <v>Compstall Info CP</v>
          </cell>
        </row>
        <row r="16">
          <cell r="A16">
            <v>10014</v>
          </cell>
          <cell r="B16" t="str">
            <v>Davenport Road CP</v>
          </cell>
        </row>
        <row r="17">
          <cell r="A17">
            <v>10015</v>
          </cell>
          <cell r="B17" t="str">
            <v>Decriminalisation CP</v>
          </cell>
        </row>
        <row r="18">
          <cell r="A18">
            <v>10016</v>
          </cell>
          <cell r="B18" t="str">
            <v>Edgeley Area CP</v>
          </cell>
        </row>
        <row r="19">
          <cell r="A19">
            <v>10017</v>
          </cell>
          <cell r="B19" t="str">
            <v>Edgeley Info Ctre</v>
          </cell>
        </row>
        <row r="20">
          <cell r="A20">
            <v>10018</v>
          </cell>
          <cell r="B20" t="str">
            <v>Estates Permits CP</v>
          </cell>
        </row>
        <row r="21">
          <cell r="A21">
            <v>10019</v>
          </cell>
          <cell r="B21" t="str">
            <v>Excess Charges CP</v>
          </cell>
        </row>
        <row r="22">
          <cell r="A22">
            <v>10020</v>
          </cell>
          <cell r="B22" t="str">
            <v>Fletcher St TC CP</v>
          </cell>
        </row>
        <row r="23">
          <cell r="A23">
            <v>10021</v>
          </cell>
          <cell r="B23" t="str">
            <v>Gatley Area CP</v>
          </cell>
        </row>
        <row r="24">
          <cell r="A24">
            <v>10022</v>
          </cell>
          <cell r="B24" t="str">
            <v>Gatley Info CP</v>
          </cell>
        </row>
        <row r="25">
          <cell r="A25">
            <v>10023</v>
          </cell>
          <cell r="B25" t="str">
            <v>Car Parking</v>
          </cell>
        </row>
        <row r="26">
          <cell r="A26">
            <v>10024</v>
          </cell>
          <cell r="B26" t="str">
            <v>Great Egerton St CP</v>
          </cell>
        </row>
        <row r="27">
          <cell r="A27">
            <v>10025</v>
          </cell>
          <cell r="B27" t="str">
            <v>Harvey Street CP</v>
          </cell>
        </row>
        <row r="28">
          <cell r="A28">
            <v>10026</v>
          </cell>
          <cell r="B28" t="str">
            <v>Hazel Grove Area CP</v>
          </cell>
        </row>
        <row r="29">
          <cell r="A29">
            <v>10027</v>
          </cell>
          <cell r="B29" t="str">
            <v>Hazel Grove Info CP</v>
          </cell>
        </row>
        <row r="30">
          <cell r="A30">
            <v>10028</v>
          </cell>
          <cell r="B30" t="str">
            <v>Heald Green Area CP</v>
          </cell>
        </row>
        <row r="31">
          <cell r="A31">
            <v>10029</v>
          </cell>
          <cell r="B31" t="str">
            <v>Heaton Lane CP Town</v>
          </cell>
        </row>
        <row r="32">
          <cell r="A32">
            <v>10030</v>
          </cell>
          <cell r="B32" t="str">
            <v>Heaton Mersey CP</v>
          </cell>
        </row>
        <row r="33">
          <cell r="A33">
            <v>10031</v>
          </cell>
          <cell r="B33" t="str">
            <v>Heaton Moor CP</v>
          </cell>
        </row>
        <row r="34">
          <cell r="A34">
            <v>10032</v>
          </cell>
          <cell r="B34" t="str">
            <v>Heaton Moor Info CP</v>
          </cell>
        </row>
        <row r="35">
          <cell r="A35">
            <v>10033</v>
          </cell>
          <cell r="B35" t="str">
            <v>Heaviley Area CP</v>
          </cell>
        </row>
        <row r="36">
          <cell r="A36">
            <v>10034</v>
          </cell>
          <cell r="B36" t="str">
            <v>High Lane Info CP</v>
          </cell>
        </row>
        <row r="37">
          <cell r="A37">
            <v>10035</v>
          </cell>
          <cell r="B37" t="str">
            <v>Hopes Carr CP</v>
          </cell>
        </row>
        <row r="38">
          <cell r="A38">
            <v>10036</v>
          </cell>
          <cell r="B38" t="str">
            <v>Howard Street CP</v>
          </cell>
        </row>
        <row r="39">
          <cell r="A39">
            <v>10037</v>
          </cell>
          <cell r="B39" t="str">
            <v>Knightsbridge CP</v>
          </cell>
        </row>
        <row r="40">
          <cell r="A40">
            <v>10038</v>
          </cell>
          <cell r="B40" t="str">
            <v>Lavenders Brow CP</v>
          </cell>
        </row>
        <row r="41">
          <cell r="A41">
            <v>10039</v>
          </cell>
          <cell r="B41" t="str">
            <v>Loonies Court CP</v>
          </cell>
        </row>
        <row r="42">
          <cell r="A42">
            <v>10040</v>
          </cell>
          <cell r="B42" t="str">
            <v>Lord Street CP</v>
          </cell>
        </row>
        <row r="43">
          <cell r="A43">
            <v>10041</v>
          </cell>
          <cell r="B43" t="str">
            <v>Lorry Parks CP</v>
          </cell>
        </row>
        <row r="44">
          <cell r="A44">
            <v>10042</v>
          </cell>
          <cell r="B44" t="str">
            <v>Marple Area CP</v>
          </cell>
        </row>
        <row r="45">
          <cell r="A45">
            <v>10043</v>
          </cell>
          <cell r="B45" t="str">
            <v>Marple Bridge Info C</v>
          </cell>
        </row>
        <row r="46">
          <cell r="A46">
            <v>10044</v>
          </cell>
          <cell r="B46" t="str">
            <v>Marple Info CP</v>
          </cell>
        </row>
        <row r="47">
          <cell r="A47">
            <v>10045</v>
          </cell>
          <cell r="B47" t="str">
            <v>Merseyway Redrock CP</v>
          </cell>
        </row>
        <row r="48">
          <cell r="A48">
            <v>10046</v>
          </cell>
          <cell r="B48" t="str">
            <v>Middle Hillgate CP</v>
          </cell>
        </row>
        <row r="49">
          <cell r="A49">
            <v>10047</v>
          </cell>
          <cell r="B49" t="str">
            <v>Newbridge Lane CP</v>
          </cell>
        </row>
        <row r="50">
          <cell r="A50">
            <v>10048</v>
          </cell>
          <cell r="B50" t="str">
            <v>Offerton Area CP</v>
          </cell>
        </row>
        <row r="51">
          <cell r="A51">
            <v>10049</v>
          </cell>
          <cell r="B51" t="str">
            <v>Cp On-Street Pay&amp;Dis</v>
          </cell>
        </row>
        <row r="52">
          <cell r="A52">
            <v>10050</v>
          </cell>
          <cell r="B52" t="str">
            <v>On-Street CP Town Ct</v>
          </cell>
        </row>
        <row r="53">
          <cell r="A53">
            <v>10051</v>
          </cell>
          <cell r="B53" t="str">
            <v>Petersgate CP</v>
          </cell>
        </row>
        <row r="54">
          <cell r="A54">
            <v>10052</v>
          </cell>
          <cell r="B54" t="str">
            <v>Reddish Area CP</v>
          </cell>
        </row>
        <row r="55">
          <cell r="A55">
            <v>10053</v>
          </cell>
          <cell r="B55" t="str">
            <v>Ritz Cinema CP</v>
          </cell>
        </row>
        <row r="56">
          <cell r="A56">
            <v>10054</v>
          </cell>
          <cell r="B56" t="str">
            <v>Romiley Area CP</v>
          </cell>
        </row>
        <row r="57">
          <cell r="A57">
            <v>10055</v>
          </cell>
          <cell r="B57" t="str">
            <v>Romiley Info CP</v>
          </cell>
        </row>
        <row r="58">
          <cell r="A58">
            <v>10056</v>
          </cell>
          <cell r="B58" t="str">
            <v>Royal George St CP</v>
          </cell>
        </row>
        <row r="59">
          <cell r="A59">
            <v>10057</v>
          </cell>
          <cell r="B59" t="str">
            <v>Shaw Heath Area CP</v>
          </cell>
        </row>
        <row r="60">
          <cell r="A60">
            <v>10058</v>
          </cell>
          <cell r="B60" t="str">
            <v>Stopford Hse CP</v>
          </cell>
        </row>
        <row r="61">
          <cell r="A61">
            <v>10059</v>
          </cell>
          <cell r="B61" t="str">
            <v>Town Centre CP</v>
          </cell>
        </row>
        <row r="62">
          <cell r="A62">
            <v>10060</v>
          </cell>
          <cell r="B62" t="str">
            <v>Werneth St CP</v>
          </cell>
        </row>
        <row r="63">
          <cell r="A63">
            <v>10061</v>
          </cell>
          <cell r="B63" t="str">
            <v>Woodley Area CP</v>
          </cell>
        </row>
        <row r="64">
          <cell r="A64">
            <v>10062</v>
          </cell>
          <cell r="B64" t="str">
            <v>SPB - Investment Est</v>
          </cell>
        </row>
        <row r="65">
          <cell r="A65">
            <v>10063</v>
          </cell>
          <cell r="B65" t="str">
            <v>*SF Targeted alloc'n</v>
          </cell>
        </row>
        <row r="66">
          <cell r="A66">
            <v>10064</v>
          </cell>
          <cell r="B66" t="str">
            <v>*Computers For Puils</v>
          </cell>
        </row>
        <row r="67">
          <cell r="A67">
            <v>10065</v>
          </cell>
          <cell r="B67" t="str">
            <v>*XGMC Ind Estates</v>
          </cell>
        </row>
        <row r="68">
          <cell r="A68">
            <v>10066</v>
          </cell>
          <cell r="B68" t="str">
            <v>FP - Fost &amp; Adop Pan</v>
          </cell>
        </row>
        <row r="69">
          <cell r="A69">
            <v>10067</v>
          </cell>
          <cell r="B69" t="str">
            <v>*Prop For Motorways</v>
          </cell>
        </row>
        <row r="70">
          <cell r="A70">
            <v>10068</v>
          </cell>
          <cell r="B70" t="str">
            <v>*Sch Sport Part Pro9</v>
          </cell>
        </row>
        <row r="71">
          <cell r="A71">
            <v>10069</v>
          </cell>
          <cell r="B71" t="str">
            <v>*Regen_H.O.S</v>
          </cell>
        </row>
        <row r="72">
          <cell r="A72">
            <v>10070</v>
          </cell>
          <cell r="B72" t="str">
            <v>*Central Areas</v>
          </cell>
        </row>
        <row r="73">
          <cell r="A73">
            <v>10071</v>
          </cell>
          <cell r="B73" t="str">
            <v>*Local Centres</v>
          </cell>
        </row>
        <row r="74">
          <cell r="A74">
            <v>10072</v>
          </cell>
          <cell r="B74" t="str">
            <v>Town Centre Devt Tea</v>
          </cell>
        </row>
        <row r="75">
          <cell r="A75">
            <v>10073</v>
          </cell>
          <cell r="B75" t="str">
            <v>*Energy Advice Centr</v>
          </cell>
        </row>
        <row r="76">
          <cell r="A76">
            <v>10074</v>
          </cell>
          <cell r="B76" t="str">
            <v>*Brinnington Enter</v>
          </cell>
        </row>
        <row r="77">
          <cell r="A77">
            <v>10075</v>
          </cell>
          <cell r="B77" t="str">
            <v>*Historical Areas</v>
          </cell>
        </row>
        <row r="78">
          <cell r="A78">
            <v>10076</v>
          </cell>
          <cell r="B78" t="str">
            <v>*Internationl Liaiso</v>
          </cell>
        </row>
        <row r="79">
          <cell r="A79">
            <v>10077</v>
          </cell>
          <cell r="B79" t="str">
            <v>*Nwda Matched Exp</v>
          </cell>
        </row>
        <row r="80">
          <cell r="A80">
            <v>10078</v>
          </cell>
          <cell r="B80" t="str">
            <v>*Silver Entrepreneur</v>
          </cell>
        </row>
        <row r="81">
          <cell r="A81">
            <v>10079</v>
          </cell>
          <cell r="B81" t="str">
            <v>*Regen-Srb 5-Local C</v>
          </cell>
        </row>
        <row r="82">
          <cell r="A82">
            <v>10080</v>
          </cell>
          <cell r="B82" t="str">
            <v>Regen-Town Centre Ma</v>
          </cell>
        </row>
        <row r="83">
          <cell r="A83">
            <v>10081</v>
          </cell>
          <cell r="B83" t="str">
            <v>*Regen-T.Centre Book</v>
          </cell>
        </row>
        <row r="84">
          <cell r="A84">
            <v>10082</v>
          </cell>
          <cell r="B84" t="str">
            <v>*Ordnance Surveys</v>
          </cell>
        </row>
        <row r="85">
          <cell r="A85">
            <v>10083</v>
          </cell>
          <cell r="B85" t="str">
            <v>Crewe-Manchester RP</v>
          </cell>
        </row>
        <row r="86">
          <cell r="A86">
            <v>10084</v>
          </cell>
          <cell r="B86" t="str">
            <v>*CTP- Transport Plan</v>
          </cell>
        </row>
        <row r="87">
          <cell r="A87">
            <v>10085</v>
          </cell>
          <cell r="B87" t="str">
            <v>*Policy</v>
          </cell>
        </row>
        <row r="88">
          <cell r="A88">
            <v>10086</v>
          </cell>
          <cell r="B88" t="str">
            <v>*STEP</v>
          </cell>
        </row>
        <row r="89">
          <cell r="A89">
            <v>10087</v>
          </cell>
          <cell r="B89" t="str">
            <v>Tec. Policy &amp; Plan</v>
          </cell>
        </row>
        <row r="90">
          <cell r="A90">
            <v>10088</v>
          </cell>
          <cell r="B90" t="str">
            <v>Policy-Rights Of Way</v>
          </cell>
        </row>
        <row r="91">
          <cell r="A91">
            <v>10089</v>
          </cell>
          <cell r="B91" t="str">
            <v>*Policy-Section Head</v>
          </cell>
        </row>
        <row r="92">
          <cell r="A92">
            <v>10090</v>
          </cell>
          <cell r="B92" t="str">
            <v>*Policy-Sus Transp</v>
          </cell>
        </row>
        <row r="93">
          <cell r="A93">
            <v>10091</v>
          </cell>
          <cell r="B93" t="str">
            <v>Invest in Growth</v>
          </cell>
        </row>
        <row r="94">
          <cell r="A94">
            <v>10092</v>
          </cell>
          <cell r="B94" t="str">
            <v>*Arts &amp; Events</v>
          </cell>
        </row>
        <row r="95">
          <cell r="A95">
            <v>10093</v>
          </cell>
          <cell r="B95" t="str">
            <v>*Bridgefield St Reta</v>
          </cell>
        </row>
        <row r="96">
          <cell r="A96">
            <v>10094</v>
          </cell>
          <cell r="B96" t="str">
            <v>*Employmt Initiative</v>
          </cell>
        </row>
        <row r="97">
          <cell r="A97">
            <v>10095</v>
          </cell>
          <cell r="B97" t="str">
            <v>*Evening Economy</v>
          </cell>
        </row>
        <row r="98">
          <cell r="A98">
            <v>10096</v>
          </cell>
          <cell r="B98" t="str">
            <v>*Knitsbridge Regen</v>
          </cell>
        </row>
        <row r="99">
          <cell r="A99">
            <v>10097</v>
          </cell>
          <cell r="B99" t="str">
            <v>*Target Marketing</v>
          </cell>
        </row>
        <row r="100">
          <cell r="A100">
            <v>10098</v>
          </cell>
          <cell r="B100" t="str">
            <v>Regen &amp; Development</v>
          </cell>
        </row>
        <row r="101">
          <cell r="A101">
            <v>10099</v>
          </cell>
          <cell r="B101" t="str">
            <v>*T.Centre Man&amp;Retail</v>
          </cell>
        </row>
        <row r="102">
          <cell r="A102">
            <v>10100</v>
          </cell>
          <cell r="B102" t="str">
            <v>*Town Centre Promoti</v>
          </cell>
        </row>
        <row r="103">
          <cell r="A103">
            <v>10101</v>
          </cell>
          <cell r="B103" t="str">
            <v>Wellbeing Portfolio</v>
          </cell>
        </row>
        <row r="104">
          <cell r="A104">
            <v>10102</v>
          </cell>
          <cell r="B104" t="str">
            <v>Investing in Growth</v>
          </cell>
        </row>
        <row r="105">
          <cell r="A105">
            <v>10103</v>
          </cell>
          <cell r="B105" t="str">
            <v>Economic Development</v>
          </cell>
        </row>
        <row r="106">
          <cell r="A106">
            <v>10104</v>
          </cell>
          <cell r="B106" t="str">
            <v>Funding &amp; Programmes</v>
          </cell>
        </row>
        <row r="107">
          <cell r="A107">
            <v>10105</v>
          </cell>
          <cell r="B107" t="str">
            <v>*Business Support</v>
          </cell>
        </row>
        <row r="108">
          <cell r="A108">
            <v>10106</v>
          </cell>
          <cell r="B108" t="str">
            <v>Directorate</v>
          </cell>
        </row>
        <row r="109">
          <cell r="A109">
            <v>10107</v>
          </cell>
          <cell r="B109" t="str">
            <v>*Adswood Nursery Sch</v>
          </cell>
        </row>
        <row r="110">
          <cell r="A110">
            <v>10108</v>
          </cell>
          <cell r="B110" t="str">
            <v>*Belmont Nursery Sch</v>
          </cell>
        </row>
        <row r="111">
          <cell r="A111">
            <v>10109</v>
          </cell>
          <cell r="B111" t="str">
            <v>*Brinnington E.Yrs P</v>
          </cell>
        </row>
        <row r="112">
          <cell r="A112">
            <v>10110</v>
          </cell>
          <cell r="B112" t="str">
            <v>*Fir Tree Nurs Schoo</v>
          </cell>
        </row>
        <row r="113">
          <cell r="A113">
            <v>10111</v>
          </cell>
          <cell r="B113" t="str">
            <v>Freshfield Nurs Scho</v>
          </cell>
        </row>
        <row r="114">
          <cell r="A114">
            <v>10112</v>
          </cell>
          <cell r="B114" t="str">
            <v>Hollywood Pk Nurs Sc</v>
          </cell>
        </row>
        <row r="115">
          <cell r="A115">
            <v>10113</v>
          </cell>
          <cell r="B115" t="str">
            <v>Lark Hill Nursery Sc</v>
          </cell>
        </row>
        <row r="116">
          <cell r="A116">
            <v>10114</v>
          </cell>
          <cell r="B116" t="str">
            <v>Nursery Sch-General</v>
          </cell>
        </row>
        <row r="117">
          <cell r="A117">
            <v>10115</v>
          </cell>
          <cell r="B117" t="str">
            <v>Offerton Hall Nurs S</v>
          </cell>
        </row>
        <row r="118">
          <cell r="A118">
            <v>10116</v>
          </cell>
          <cell r="B118" t="str">
            <v>Reddish Vale Nurs Sc</v>
          </cell>
        </row>
        <row r="119">
          <cell r="A119">
            <v>10117</v>
          </cell>
          <cell r="B119" t="str">
            <v>*EHP Adswood Buildin</v>
          </cell>
        </row>
        <row r="120">
          <cell r="A120">
            <v>10118</v>
          </cell>
          <cell r="B120" t="str">
            <v>*HTV ICS Locality Le</v>
          </cell>
        </row>
        <row r="121">
          <cell r="A121">
            <v>10119</v>
          </cell>
          <cell r="B121" t="str">
            <v>SC - Child &amp; Fam SW</v>
          </cell>
        </row>
        <row r="122">
          <cell r="A122">
            <v>10120</v>
          </cell>
          <cell r="B122" t="str">
            <v>SI Child Minder Sup</v>
          </cell>
        </row>
        <row r="123">
          <cell r="A123">
            <v>10121</v>
          </cell>
          <cell r="B123" t="str">
            <v>SF -  Early Years</v>
          </cell>
        </row>
        <row r="124">
          <cell r="A124">
            <v>10122</v>
          </cell>
          <cell r="B124" t="str">
            <v>EHP Children Ctrs Ce</v>
          </cell>
        </row>
        <row r="125">
          <cell r="A125">
            <v>10123</v>
          </cell>
          <cell r="B125" t="str">
            <v>*EHP Fam Info Link</v>
          </cell>
        </row>
        <row r="126">
          <cell r="A126">
            <v>10124</v>
          </cell>
          <cell r="B126" t="str">
            <v>*EHP Graduate Leader</v>
          </cell>
        </row>
        <row r="127">
          <cell r="A127">
            <v>10125</v>
          </cell>
          <cell r="B127" t="str">
            <v>SF OPCC PROJECT</v>
          </cell>
        </row>
        <row r="128">
          <cell r="A128">
            <v>10126</v>
          </cell>
          <cell r="B128" t="str">
            <v>SC - Baker Street</v>
          </cell>
        </row>
        <row r="129">
          <cell r="A129">
            <v>10127</v>
          </cell>
          <cell r="B129" t="str">
            <v>*SI - Early Years</v>
          </cell>
        </row>
        <row r="130">
          <cell r="A130">
            <v>10128</v>
          </cell>
          <cell r="B130" t="str">
            <v>*EHP Extended Schoo</v>
          </cell>
        </row>
        <row r="131">
          <cell r="A131">
            <v>10129</v>
          </cell>
          <cell r="B131" t="str">
            <v>SC - Innovation Fund</v>
          </cell>
        </row>
        <row r="132">
          <cell r="A132">
            <v>10130</v>
          </cell>
          <cell r="B132" t="str">
            <v>*ISPP</v>
          </cell>
        </row>
        <row r="133">
          <cell r="A133">
            <v>10131</v>
          </cell>
          <cell r="B133" t="str">
            <v>*General-Coord'R Acp</v>
          </cell>
        </row>
        <row r="134">
          <cell r="A134">
            <v>10132</v>
          </cell>
          <cell r="B134" t="str">
            <v>*CIN Day Care Suppor</v>
          </cell>
        </row>
        <row r="135">
          <cell r="A135">
            <v>10133</v>
          </cell>
          <cell r="B135" t="str">
            <v>*CT &amp; IW</v>
          </cell>
        </row>
        <row r="136">
          <cell r="A136">
            <v>10134</v>
          </cell>
          <cell r="B136" t="str">
            <v>*Network Development</v>
          </cell>
        </row>
        <row r="137">
          <cell r="A137">
            <v>10135</v>
          </cell>
          <cell r="B137" t="str">
            <v>*Disability Respite</v>
          </cell>
        </row>
        <row r="138">
          <cell r="A138">
            <v>10136</v>
          </cell>
          <cell r="B138" t="str">
            <v>*FP - Adoption Refor</v>
          </cell>
        </row>
        <row r="139">
          <cell r="A139">
            <v>10137</v>
          </cell>
          <cell r="B139" t="str">
            <v>EYSFF-PVI</v>
          </cell>
        </row>
        <row r="140">
          <cell r="A140">
            <v>10138</v>
          </cell>
          <cell r="B140" t="str">
            <v>*Out Of School Netwo</v>
          </cell>
        </row>
        <row r="141">
          <cell r="A141">
            <v>10139</v>
          </cell>
          <cell r="B141" t="str">
            <v>*Out-School Childc N</v>
          </cell>
        </row>
        <row r="142">
          <cell r="A142">
            <v>10140</v>
          </cell>
          <cell r="B142" t="str">
            <v>*SS Aim Higher SB</v>
          </cell>
        </row>
        <row r="143">
          <cell r="A143">
            <v>10141</v>
          </cell>
          <cell r="B143" t="str">
            <v>*EHP Play Strategy</v>
          </cell>
        </row>
        <row r="144">
          <cell r="A144">
            <v>10142</v>
          </cell>
          <cell r="B144" t="str">
            <v>*Trans Challge Award</v>
          </cell>
        </row>
        <row r="145">
          <cell r="A145">
            <v>10143</v>
          </cell>
          <cell r="B145" t="str">
            <v>*Cont Disabity Prtsh</v>
          </cell>
        </row>
        <row r="146">
          <cell r="A146">
            <v>10144</v>
          </cell>
          <cell r="B146" t="str">
            <v>*EHP Projects</v>
          </cell>
        </row>
        <row r="147">
          <cell r="A147">
            <v>10145</v>
          </cell>
          <cell r="B147" t="str">
            <v>*EHP Child Suff Audi</v>
          </cell>
        </row>
        <row r="148">
          <cell r="A148">
            <v>10146</v>
          </cell>
          <cell r="B148" t="str">
            <v>*Teenage Parents Pro</v>
          </cell>
        </row>
        <row r="149">
          <cell r="A149">
            <v>10147</v>
          </cell>
          <cell r="B149" t="str">
            <v>*EHP Sure Start Offi</v>
          </cell>
        </row>
        <row r="150">
          <cell r="A150">
            <v>10148</v>
          </cell>
          <cell r="B150" t="str">
            <v>PTG Troubled Familie</v>
          </cell>
        </row>
        <row r="151">
          <cell r="A151">
            <v>10149</v>
          </cell>
          <cell r="B151" t="str">
            <v>*EHP Workforce Devel</v>
          </cell>
        </row>
        <row r="152">
          <cell r="A152">
            <v>10150</v>
          </cell>
          <cell r="B152" t="str">
            <v>Abingdon Pri School</v>
          </cell>
        </row>
        <row r="153">
          <cell r="A153">
            <v>10151</v>
          </cell>
          <cell r="B153" t="str">
            <v>Adswood Pri School</v>
          </cell>
        </row>
        <row r="154">
          <cell r="A154">
            <v>10152</v>
          </cell>
          <cell r="B154" t="str">
            <v>*Alexandra Pk Inf Sc</v>
          </cell>
        </row>
        <row r="155">
          <cell r="A155">
            <v>10153</v>
          </cell>
          <cell r="B155" t="str">
            <v>*Alexandra Pk Jun Sc</v>
          </cell>
        </row>
        <row r="156">
          <cell r="A156">
            <v>10154</v>
          </cell>
          <cell r="B156" t="str">
            <v>All Saints Ce Pri Sc</v>
          </cell>
        </row>
        <row r="157">
          <cell r="A157">
            <v>10155</v>
          </cell>
          <cell r="B157" t="str">
            <v>All Saints Marple Ce</v>
          </cell>
        </row>
        <row r="158">
          <cell r="A158">
            <v>10156</v>
          </cell>
          <cell r="B158" t="str">
            <v>Arden Primary Sch</v>
          </cell>
        </row>
        <row r="159">
          <cell r="A159">
            <v>10157</v>
          </cell>
          <cell r="B159" t="str">
            <v>Banks Lane Inf Schoo</v>
          </cell>
        </row>
        <row r="160">
          <cell r="A160">
            <v>10158</v>
          </cell>
          <cell r="B160" t="str">
            <v>Banks Lane Jun Schoo</v>
          </cell>
        </row>
        <row r="161">
          <cell r="A161">
            <v>10159</v>
          </cell>
          <cell r="B161" t="str">
            <v>2053</v>
          </cell>
        </row>
        <row r="162">
          <cell r="A162">
            <v>10160</v>
          </cell>
          <cell r="B162" t="str">
            <v>Bolshaw Primary Scho</v>
          </cell>
        </row>
        <row r="163">
          <cell r="A163">
            <v>10161</v>
          </cell>
          <cell r="B163" t="str">
            <v>Bradshaw Hall Pri Sc</v>
          </cell>
        </row>
        <row r="164">
          <cell r="A164">
            <v>10162</v>
          </cell>
          <cell r="B164" t="str">
            <v>Bredbury Grn Pri Sch</v>
          </cell>
        </row>
        <row r="165">
          <cell r="A165">
            <v>10163</v>
          </cell>
          <cell r="B165" t="str">
            <v>Bridge Hall Pri Scho</v>
          </cell>
        </row>
        <row r="166">
          <cell r="A166">
            <v>10164</v>
          </cell>
          <cell r="B166" t="str">
            <v>Broadstone Hall Pri</v>
          </cell>
        </row>
        <row r="167">
          <cell r="A167">
            <v>10165</v>
          </cell>
          <cell r="B167" t="str">
            <v>2052</v>
          </cell>
        </row>
        <row r="168">
          <cell r="A168">
            <v>10166</v>
          </cell>
          <cell r="B168" t="str">
            <v>Brookside Primary Sc</v>
          </cell>
        </row>
        <row r="169">
          <cell r="A169">
            <v>10167</v>
          </cell>
          <cell r="B169" t="str">
            <v>2049</v>
          </cell>
        </row>
        <row r="170">
          <cell r="A170">
            <v>10168</v>
          </cell>
          <cell r="B170" t="str">
            <v>Cale Green Primary S</v>
          </cell>
        </row>
        <row r="171">
          <cell r="A171">
            <v>10169</v>
          </cell>
          <cell r="B171" t="str">
            <v>Cheadle Heath Pri Sc</v>
          </cell>
        </row>
        <row r="172">
          <cell r="A172">
            <v>10170</v>
          </cell>
          <cell r="B172" t="str">
            <v>Cheadle Primary Scho</v>
          </cell>
        </row>
        <row r="173">
          <cell r="A173">
            <v>10171</v>
          </cell>
          <cell r="B173" t="str">
            <v>Cheadle Rc Inf Schoo</v>
          </cell>
        </row>
        <row r="174">
          <cell r="A174">
            <v>10172</v>
          </cell>
          <cell r="B174" t="str">
            <v>Cheadle Rc Jun Schoo</v>
          </cell>
        </row>
        <row r="175">
          <cell r="A175">
            <v>10173</v>
          </cell>
          <cell r="B175" t="str">
            <v>2048</v>
          </cell>
        </row>
        <row r="176">
          <cell r="A176">
            <v>10174</v>
          </cell>
          <cell r="B176" t="str">
            <v>Dial Park Pri School</v>
          </cell>
        </row>
        <row r="177">
          <cell r="A177">
            <v>10175</v>
          </cell>
          <cell r="B177" t="str">
            <v>Didsbury Road Pri Sc</v>
          </cell>
        </row>
        <row r="178">
          <cell r="A178">
            <v>10176</v>
          </cell>
          <cell r="B178" t="str">
            <v>Etchells Pri School</v>
          </cell>
        </row>
        <row r="179">
          <cell r="A179">
            <v>10177</v>
          </cell>
          <cell r="B179" t="str">
            <v>Fairway Pri School</v>
          </cell>
        </row>
        <row r="180">
          <cell r="A180">
            <v>10178</v>
          </cell>
          <cell r="B180" t="str">
            <v>*Fir Tree Pri School</v>
          </cell>
        </row>
        <row r="181">
          <cell r="A181">
            <v>10179</v>
          </cell>
          <cell r="B181" t="str">
            <v>*Gatley Pri School</v>
          </cell>
        </row>
        <row r="182">
          <cell r="A182">
            <v>10180</v>
          </cell>
          <cell r="B182" t="str">
            <v>Great Moor Inf Schoo</v>
          </cell>
        </row>
        <row r="183">
          <cell r="A183">
            <v>10181</v>
          </cell>
          <cell r="B183" t="str">
            <v>Great Moor Jun Schoo</v>
          </cell>
        </row>
        <row r="184">
          <cell r="A184">
            <v>10182</v>
          </cell>
          <cell r="B184" t="str">
            <v>Greave Primary Schoo</v>
          </cell>
        </row>
        <row r="185">
          <cell r="A185">
            <v>10183</v>
          </cell>
          <cell r="B185" t="str">
            <v>Hazel Grove Primary</v>
          </cell>
        </row>
        <row r="186">
          <cell r="A186">
            <v>10184</v>
          </cell>
          <cell r="B186" t="str">
            <v>High Lane Pri School</v>
          </cell>
        </row>
        <row r="187">
          <cell r="A187">
            <v>10185</v>
          </cell>
          <cell r="B187" t="str">
            <v>Hursthead Inf School</v>
          </cell>
        </row>
        <row r="188">
          <cell r="A188">
            <v>10186</v>
          </cell>
          <cell r="B188" t="str">
            <v>Hursthead Jun School</v>
          </cell>
        </row>
        <row r="189">
          <cell r="A189">
            <v>10187</v>
          </cell>
          <cell r="B189" t="str">
            <v>Ladybridge Pri Schoo</v>
          </cell>
        </row>
        <row r="190">
          <cell r="A190">
            <v>10188</v>
          </cell>
          <cell r="B190" t="str">
            <v>Ladybrook Pri School</v>
          </cell>
        </row>
        <row r="191">
          <cell r="A191">
            <v>10189</v>
          </cell>
          <cell r="B191" t="str">
            <v>Lane End Primary Sch</v>
          </cell>
        </row>
        <row r="192">
          <cell r="A192">
            <v>10190</v>
          </cell>
          <cell r="B192" t="str">
            <v>Lark Hill Pri School</v>
          </cell>
        </row>
        <row r="193">
          <cell r="A193">
            <v>10191</v>
          </cell>
          <cell r="B193" t="str">
            <v>Ludworth Pri School</v>
          </cell>
        </row>
        <row r="194">
          <cell r="A194">
            <v>10192</v>
          </cell>
          <cell r="B194" t="str">
            <v>Lum Head Pri School</v>
          </cell>
        </row>
        <row r="195">
          <cell r="A195">
            <v>10193</v>
          </cell>
          <cell r="B195" t="str">
            <v>*Mellor Primary Scho</v>
          </cell>
        </row>
        <row r="196">
          <cell r="A196">
            <v>10194</v>
          </cell>
          <cell r="B196" t="str">
            <v>Mersey Vale Pri Scho</v>
          </cell>
        </row>
        <row r="197">
          <cell r="A197">
            <v>10195</v>
          </cell>
          <cell r="B197" t="str">
            <v>2047</v>
          </cell>
        </row>
        <row r="198">
          <cell r="A198">
            <v>10196</v>
          </cell>
          <cell r="B198" t="str">
            <v>2046</v>
          </cell>
        </row>
        <row r="199">
          <cell r="A199">
            <v>10197</v>
          </cell>
          <cell r="B199" t="str">
            <v>Moss Hey Pri School</v>
          </cell>
        </row>
        <row r="200">
          <cell r="A200">
            <v>10198</v>
          </cell>
          <cell r="B200" t="str">
            <v>Nevill Road Inf Scho</v>
          </cell>
        </row>
        <row r="201">
          <cell r="A201">
            <v>10199</v>
          </cell>
          <cell r="B201" t="str">
            <v>Nevill Road Jun Scho</v>
          </cell>
        </row>
        <row r="202">
          <cell r="A202">
            <v>10200</v>
          </cell>
          <cell r="B202" t="str">
            <v>Norbury Hall Pri Sch</v>
          </cell>
        </row>
        <row r="203">
          <cell r="A203">
            <v>10201</v>
          </cell>
          <cell r="B203" t="str">
            <v>Norris Bank Pri Sch</v>
          </cell>
        </row>
        <row r="204">
          <cell r="A204">
            <v>10202</v>
          </cell>
          <cell r="B204" t="str">
            <v>*North Reddish Inf S</v>
          </cell>
        </row>
        <row r="205">
          <cell r="A205">
            <v>10203</v>
          </cell>
          <cell r="B205" t="str">
            <v>*North Reddish Jun S</v>
          </cell>
        </row>
        <row r="206">
          <cell r="A206">
            <v>10204</v>
          </cell>
          <cell r="B206" t="str">
            <v>Nth Cheshire Jewish</v>
          </cell>
        </row>
        <row r="207">
          <cell r="A207">
            <v>10205</v>
          </cell>
          <cell r="B207" t="str">
            <v>2044</v>
          </cell>
        </row>
        <row r="208">
          <cell r="A208">
            <v>10206</v>
          </cell>
          <cell r="B208" t="str">
            <v>2039</v>
          </cell>
        </row>
        <row r="209">
          <cell r="A209">
            <v>10207</v>
          </cell>
          <cell r="B209" t="str">
            <v>Orrishmere Pri Sch</v>
          </cell>
        </row>
        <row r="210">
          <cell r="A210">
            <v>10208</v>
          </cell>
          <cell r="B210" t="str">
            <v>Our Lady'S Rc Pri Sc</v>
          </cell>
        </row>
        <row r="211">
          <cell r="A211">
            <v>10209</v>
          </cell>
          <cell r="B211" t="str">
            <v>Outwood Pri School</v>
          </cell>
        </row>
        <row r="212">
          <cell r="A212">
            <v>10210</v>
          </cell>
          <cell r="B212" t="str">
            <v>2038</v>
          </cell>
        </row>
        <row r="213">
          <cell r="A213">
            <v>10211</v>
          </cell>
          <cell r="B213" t="str">
            <v>*Peacefield Pri Scho</v>
          </cell>
        </row>
        <row r="214">
          <cell r="A214">
            <v>10212</v>
          </cell>
          <cell r="B214" t="str">
            <v>Pownall Grn Pri Scho</v>
          </cell>
        </row>
        <row r="215">
          <cell r="A215">
            <v>10213</v>
          </cell>
          <cell r="B215" t="str">
            <v>Prospect Vale Pri Sc</v>
          </cell>
        </row>
        <row r="216">
          <cell r="A216">
            <v>10214</v>
          </cell>
          <cell r="B216" t="str">
            <v>Queens Road Pri Scho</v>
          </cell>
        </row>
        <row r="217">
          <cell r="A217">
            <v>10215</v>
          </cell>
          <cell r="B217" t="str">
            <v>Queensgate Pri Schoo</v>
          </cell>
        </row>
        <row r="218">
          <cell r="A218">
            <v>10216</v>
          </cell>
          <cell r="B218" t="str">
            <v>St Elizabeth Ce Pri</v>
          </cell>
        </row>
        <row r="219">
          <cell r="A219">
            <v>10217</v>
          </cell>
          <cell r="B219" t="str">
            <v>St Mark'S Ce Pri Sch</v>
          </cell>
        </row>
        <row r="220">
          <cell r="A220">
            <v>10218</v>
          </cell>
          <cell r="B220" t="str">
            <v>Meadowbank Pri Sch</v>
          </cell>
        </row>
        <row r="221">
          <cell r="A221">
            <v>10219</v>
          </cell>
          <cell r="B221" t="str">
            <v>Moorfield Pri School</v>
          </cell>
        </row>
        <row r="222">
          <cell r="A222">
            <v>10220</v>
          </cell>
          <cell r="B222" t="str">
            <v>Delg Bdgts - Prim</v>
          </cell>
        </row>
        <row r="223">
          <cell r="A223">
            <v>10221</v>
          </cell>
          <cell r="B223" t="str">
            <v>Romiley Primary Scho</v>
          </cell>
        </row>
        <row r="224">
          <cell r="A224">
            <v>10222</v>
          </cell>
          <cell r="B224" t="str">
            <v>Rose Hill Pri School</v>
          </cell>
        </row>
        <row r="225">
          <cell r="A225">
            <v>10223</v>
          </cell>
          <cell r="B225" t="str">
            <v>2037</v>
          </cell>
        </row>
        <row r="226">
          <cell r="A226">
            <v>10224</v>
          </cell>
          <cell r="B226" t="str">
            <v>St Ambrose Rc Pri Sc</v>
          </cell>
        </row>
        <row r="227">
          <cell r="A227">
            <v>10225</v>
          </cell>
          <cell r="B227" t="str">
            <v>St Bernadette Rc Pri</v>
          </cell>
        </row>
        <row r="228">
          <cell r="A228">
            <v>10226</v>
          </cell>
          <cell r="B228" t="str">
            <v>St Christopher Rc Pr</v>
          </cell>
        </row>
        <row r="229">
          <cell r="A229">
            <v>10227</v>
          </cell>
          <cell r="B229" t="str">
            <v>St George'S Ce Pri S</v>
          </cell>
        </row>
        <row r="230">
          <cell r="A230">
            <v>10228</v>
          </cell>
          <cell r="B230" t="str">
            <v>St John Ce Pri Sch</v>
          </cell>
        </row>
        <row r="231">
          <cell r="A231">
            <v>10229</v>
          </cell>
          <cell r="B231" t="str">
            <v>*St Joseph Rc Inf Sc</v>
          </cell>
        </row>
        <row r="232">
          <cell r="A232">
            <v>10230</v>
          </cell>
          <cell r="B232" t="str">
            <v>*St Joseph Rc Jun Sc</v>
          </cell>
        </row>
        <row r="233">
          <cell r="A233">
            <v>10231</v>
          </cell>
          <cell r="B233" t="str">
            <v>St Joseph'S Rc Pri S</v>
          </cell>
        </row>
        <row r="234">
          <cell r="A234">
            <v>10232</v>
          </cell>
          <cell r="B234" t="str">
            <v>St Mary'S Ce Pri Sch</v>
          </cell>
        </row>
        <row r="235">
          <cell r="A235">
            <v>10233</v>
          </cell>
          <cell r="B235" t="str">
            <v>St Mary'S Rc Pri Sch</v>
          </cell>
        </row>
        <row r="236">
          <cell r="A236">
            <v>10234</v>
          </cell>
          <cell r="B236" t="str">
            <v>St Mary'S Rc Pri Mar</v>
          </cell>
        </row>
        <row r="237">
          <cell r="A237">
            <v>10235</v>
          </cell>
          <cell r="B237" t="str">
            <v>*St Matthew Ce Pri S</v>
          </cell>
        </row>
        <row r="238">
          <cell r="A238">
            <v>10236</v>
          </cell>
          <cell r="B238" t="str">
            <v>St Paul'S Ce Pri Sch</v>
          </cell>
        </row>
        <row r="239">
          <cell r="A239">
            <v>10237</v>
          </cell>
          <cell r="B239" t="str">
            <v>St Peter'S Rc Pri Sc</v>
          </cell>
        </row>
        <row r="240">
          <cell r="A240">
            <v>10238</v>
          </cell>
          <cell r="B240" t="str">
            <v>St Philip Rc Pri Sch</v>
          </cell>
        </row>
        <row r="241">
          <cell r="A241">
            <v>10239</v>
          </cell>
          <cell r="B241" t="str">
            <v>St Simon Rc Pri Sch</v>
          </cell>
        </row>
        <row r="242">
          <cell r="A242">
            <v>10240</v>
          </cell>
          <cell r="B242" t="str">
            <v>*2035</v>
          </cell>
        </row>
        <row r="243">
          <cell r="A243">
            <v>10241</v>
          </cell>
          <cell r="B243" t="str">
            <v>St Thomas Hc Ce Pri</v>
          </cell>
        </row>
        <row r="244">
          <cell r="A244">
            <v>10242</v>
          </cell>
          <cell r="B244" t="str">
            <v>St Thomas S Ce Pri</v>
          </cell>
        </row>
        <row r="245">
          <cell r="A245">
            <v>10243</v>
          </cell>
          <cell r="B245" t="str">
            <v>St Winifred'S Rc Pri</v>
          </cell>
        </row>
        <row r="246">
          <cell r="A246">
            <v>10244</v>
          </cell>
          <cell r="B246" t="str">
            <v>*Tame Valley Pri Sch</v>
          </cell>
        </row>
        <row r="247">
          <cell r="A247">
            <v>10245</v>
          </cell>
          <cell r="B247" t="str">
            <v>*The Dale Pri School</v>
          </cell>
        </row>
        <row r="248">
          <cell r="A248">
            <v>10246</v>
          </cell>
          <cell r="B248" t="str">
            <v>Thorn Grove Pri Sch</v>
          </cell>
        </row>
        <row r="249">
          <cell r="A249">
            <v>10247</v>
          </cell>
          <cell r="B249" t="str">
            <v>Tithe Barn Pri Sch</v>
          </cell>
        </row>
        <row r="250">
          <cell r="A250">
            <v>10248</v>
          </cell>
          <cell r="B250" t="str">
            <v>Torkington Pri Sch</v>
          </cell>
        </row>
        <row r="251">
          <cell r="A251">
            <v>10249</v>
          </cell>
          <cell r="B251" t="str">
            <v>Vernon Park Pri Sch</v>
          </cell>
        </row>
        <row r="252">
          <cell r="A252">
            <v>10250</v>
          </cell>
          <cell r="B252" t="str">
            <v>Warren Wood Pri Sch</v>
          </cell>
        </row>
        <row r="253">
          <cell r="A253">
            <v>10251</v>
          </cell>
          <cell r="B253" t="str">
            <v>Westmorland Pry Sch</v>
          </cell>
        </row>
        <row r="254">
          <cell r="A254">
            <v>10252</v>
          </cell>
          <cell r="B254" t="str">
            <v>Whitehill Pri School</v>
          </cell>
        </row>
        <row r="255">
          <cell r="A255">
            <v>10253</v>
          </cell>
          <cell r="B255" t="str">
            <v>Woodley Primary Scho</v>
          </cell>
        </row>
        <row r="256">
          <cell r="A256">
            <v>10254</v>
          </cell>
          <cell r="B256" t="str">
            <v>HR- Bureau Services</v>
          </cell>
        </row>
        <row r="257">
          <cell r="A257">
            <v>10255</v>
          </cell>
          <cell r="B257" t="str">
            <v>2032</v>
          </cell>
        </row>
        <row r="258">
          <cell r="A258">
            <v>10256</v>
          </cell>
          <cell r="B258" t="str">
            <v>*Stockport Academy</v>
          </cell>
        </row>
        <row r="259">
          <cell r="A259">
            <v>10257</v>
          </cell>
          <cell r="B259" t="str">
            <v>2030</v>
          </cell>
        </row>
        <row r="260">
          <cell r="A260">
            <v>10258</v>
          </cell>
          <cell r="B260" t="str">
            <v>Bramhall High School</v>
          </cell>
        </row>
        <row r="261">
          <cell r="A261">
            <v>10259</v>
          </cell>
          <cell r="B261" t="str">
            <v>2027</v>
          </cell>
        </row>
        <row r="262">
          <cell r="A262">
            <v>10260</v>
          </cell>
          <cell r="B262" t="str">
            <v>2021</v>
          </cell>
        </row>
        <row r="263">
          <cell r="A263">
            <v>10261</v>
          </cell>
          <cell r="B263" t="str">
            <v>*Cheadle Hulme High</v>
          </cell>
        </row>
        <row r="264">
          <cell r="A264">
            <v>10262</v>
          </cell>
          <cell r="B264" t="str">
            <v>*Harrytown RC</v>
          </cell>
        </row>
        <row r="265">
          <cell r="A265">
            <v>10263</v>
          </cell>
          <cell r="B265" t="str">
            <v>Harrytown Rc Second</v>
          </cell>
        </row>
        <row r="266">
          <cell r="A266">
            <v>10264</v>
          </cell>
          <cell r="B266" t="str">
            <v>2017</v>
          </cell>
        </row>
        <row r="267">
          <cell r="A267">
            <v>10265</v>
          </cell>
          <cell r="B267" t="str">
            <v>*Hazel Grove Second</v>
          </cell>
        </row>
        <row r="268">
          <cell r="A268">
            <v>10266</v>
          </cell>
          <cell r="B268" t="str">
            <v>2015</v>
          </cell>
        </row>
        <row r="269">
          <cell r="A269">
            <v>10267</v>
          </cell>
          <cell r="B269" t="str">
            <v>2012</v>
          </cell>
        </row>
        <row r="270">
          <cell r="A270">
            <v>10268</v>
          </cell>
          <cell r="B270" t="str">
            <v>Marple Hall Second S</v>
          </cell>
        </row>
        <row r="271">
          <cell r="A271">
            <v>10269</v>
          </cell>
          <cell r="B271" t="str">
            <v>2007</v>
          </cell>
        </row>
        <row r="272">
          <cell r="A272">
            <v>10270</v>
          </cell>
          <cell r="B272" t="str">
            <v>2006</v>
          </cell>
        </row>
        <row r="273">
          <cell r="A273">
            <v>10271</v>
          </cell>
          <cell r="B273" t="str">
            <v>2005</v>
          </cell>
        </row>
        <row r="274">
          <cell r="A274">
            <v>10272</v>
          </cell>
          <cell r="B274" t="str">
            <v>*Offerton Secondry S</v>
          </cell>
        </row>
        <row r="275">
          <cell r="A275">
            <v>10273</v>
          </cell>
          <cell r="B275" t="str">
            <v>*2002</v>
          </cell>
        </row>
        <row r="276">
          <cell r="A276">
            <v>10274</v>
          </cell>
          <cell r="B276" t="str">
            <v>Priestnall High Sch</v>
          </cell>
        </row>
        <row r="277">
          <cell r="A277">
            <v>10275</v>
          </cell>
          <cell r="B277" t="str">
            <v>*2057</v>
          </cell>
        </row>
        <row r="278">
          <cell r="A278">
            <v>10276</v>
          </cell>
          <cell r="B278" t="str">
            <v>2058</v>
          </cell>
        </row>
        <row r="279">
          <cell r="A279">
            <v>10277</v>
          </cell>
          <cell r="B279" t="str">
            <v>*2001</v>
          </cell>
        </row>
        <row r="280">
          <cell r="A280">
            <v>10278</v>
          </cell>
          <cell r="B280" t="str">
            <v>*Reddish Vale Tech</v>
          </cell>
        </row>
        <row r="281">
          <cell r="A281">
            <v>10279</v>
          </cell>
          <cell r="B281" t="str">
            <v>Delg Bdgts - Second</v>
          </cell>
        </row>
        <row r="282">
          <cell r="A282">
            <v>10280</v>
          </cell>
          <cell r="B282" t="str">
            <v>2000</v>
          </cell>
        </row>
        <row r="283">
          <cell r="A283">
            <v>10281</v>
          </cell>
          <cell r="B283" t="str">
            <v>1008</v>
          </cell>
        </row>
        <row r="284">
          <cell r="A284">
            <v>10282</v>
          </cell>
          <cell r="B284" t="str">
            <v>St Annes Rc Second S</v>
          </cell>
        </row>
        <row r="285">
          <cell r="A285">
            <v>10283</v>
          </cell>
          <cell r="B285" t="str">
            <v>*1007</v>
          </cell>
        </row>
        <row r="286">
          <cell r="A286">
            <v>10284</v>
          </cell>
          <cell r="B286" t="str">
            <v>1006</v>
          </cell>
        </row>
        <row r="287">
          <cell r="A287">
            <v>10285</v>
          </cell>
          <cell r="B287" t="str">
            <v>St James Rc High Sch</v>
          </cell>
        </row>
        <row r="288">
          <cell r="A288">
            <v>10286</v>
          </cell>
          <cell r="B288" t="str">
            <v>*St Pauls Caretaker</v>
          </cell>
        </row>
        <row r="289">
          <cell r="A289">
            <v>10287</v>
          </cell>
          <cell r="B289" t="str">
            <v>*1004</v>
          </cell>
        </row>
        <row r="290">
          <cell r="A290">
            <v>10288</v>
          </cell>
          <cell r="B290" t="str">
            <v>Stockport School</v>
          </cell>
        </row>
        <row r="291">
          <cell r="A291">
            <v>10289</v>
          </cell>
          <cell r="B291" t="str">
            <v>The Kingsway</v>
          </cell>
        </row>
        <row r="292">
          <cell r="A292">
            <v>10290</v>
          </cell>
          <cell r="B292" t="str">
            <v>1003</v>
          </cell>
        </row>
        <row r="293">
          <cell r="A293">
            <v>10291</v>
          </cell>
          <cell r="B293" t="str">
            <v>*1001</v>
          </cell>
        </row>
        <row r="294">
          <cell r="A294">
            <v>10292</v>
          </cell>
          <cell r="B294" t="str">
            <v>Werneth High School</v>
          </cell>
        </row>
        <row r="295">
          <cell r="A295">
            <v>10293</v>
          </cell>
          <cell r="B295" t="str">
            <v>*S.Meals-Castle Hill</v>
          </cell>
        </row>
        <row r="296">
          <cell r="A296">
            <v>10294</v>
          </cell>
          <cell r="B296" t="str">
            <v>*S.Meals-Heaton Spec</v>
          </cell>
        </row>
        <row r="297">
          <cell r="A297">
            <v>10295</v>
          </cell>
          <cell r="B297" t="str">
            <v>*S.Meals-Lisburne Sp</v>
          </cell>
        </row>
        <row r="298">
          <cell r="A298">
            <v>10296</v>
          </cell>
          <cell r="B298" t="str">
            <v>*S.Meals-Oakgrove Sp</v>
          </cell>
        </row>
        <row r="299">
          <cell r="A299">
            <v>10297</v>
          </cell>
          <cell r="B299" t="str">
            <v>*S.Meals-General Spe</v>
          </cell>
        </row>
        <row r="300">
          <cell r="A300">
            <v>10298</v>
          </cell>
          <cell r="B300" t="str">
            <v>*S.Meals-Valley Spec</v>
          </cell>
        </row>
        <row r="301">
          <cell r="A301">
            <v>10299</v>
          </cell>
          <cell r="B301" t="str">
            <v>*S.Meals-Windlehurs</v>
          </cell>
        </row>
        <row r="302">
          <cell r="A302">
            <v>10300</v>
          </cell>
          <cell r="B302" t="str">
            <v>SEN Specific support</v>
          </cell>
        </row>
        <row r="303">
          <cell r="A303">
            <v>10301</v>
          </cell>
          <cell r="B303" t="str">
            <v>*Perip-Ca Physical D</v>
          </cell>
        </row>
        <row r="304">
          <cell r="A304">
            <v>10302</v>
          </cell>
          <cell r="B304" t="str">
            <v>*Perip-Ca Pmld/Ph/Sl</v>
          </cell>
        </row>
        <row r="305">
          <cell r="A305">
            <v>10303</v>
          </cell>
          <cell r="B305" t="str">
            <v>14-19 - Activities</v>
          </cell>
        </row>
        <row r="306">
          <cell r="A306">
            <v>10304</v>
          </cell>
          <cell r="B306" t="str">
            <v>*Perip-Early Yrs Co-</v>
          </cell>
        </row>
        <row r="307">
          <cell r="A307">
            <v>10305</v>
          </cell>
          <cell r="B307" t="str">
            <v>Ethnic Diversity srv</v>
          </cell>
        </row>
        <row r="308">
          <cell r="A308">
            <v>10306</v>
          </cell>
          <cell r="B308" t="str">
            <v>Virtual School Team</v>
          </cell>
        </row>
        <row r="309">
          <cell r="A309">
            <v>10307</v>
          </cell>
          <cell r="B309" t="str">
            <v>Incl - S.I.U - Perip</v>
          </cell>
        </row>
        <row r="310">
          <cell r="A310">
            <v>10308</v>
          </cell>
          <cell r="B310" t="str">
            <v>*Perip-Lovaas Therap</v>
          </cell>
        </row>
        <row r="311">
          <cell r="A311">
            <v>10309</v>
          </cell>
          <cell r="B311" t="str">
            <v>LSS Core</v>
          </cell>
        </row>
        <row r="312">
          <cell r="A312">
            <v>10310</v>
          </cell>
          <cell r="B312" t="str">
            <v>LSS Management</v>
          </cell>
        </row>
        <row r="313">
          <cell r="A313">
            <v>10311</v>
          </cell>
          <cell r="B313" t="str">
            <v>LSS Teachers</v>
          </cell>
        </row>
        <row r="314">
          <cell r="A314">
            <v>10312</v>
          </cell>
          <cell r="B314" t="str">
            <v>*Perip-Manage Transf</v>
          </cell>
        </row>
        <row r="315">
          <cell r="A315">
            <v>10313</v>
          </cell>
          <cell r="B315" t="str">
            <v>Moat House PRU</v>
          </cell>
        </row>
        <row r="316">
          <cell r="A316">
            <v>10314</v>
          </cell>
          <cell r="B316" t="str">
            <v>*Schools referrl-ACE</v>
          </cell>
        </row>
        <row r="317">
          <cell r="A317">
            <v>10315</v>
          </cell>
          <cell r="B317" t="str">
            <v>*EHP Overdale Buildi</v>
          </cell>
        </row>
        <row r="318">
          <cell r="A318">
            <v>10316</v>
          </cell>
          <cell r="B318" t="str">
            <v>SEN-Parent Partnersh</v>
          </cell>
        </row>
        <row r="319">
          <cell r="A319">
            <v>10317</v>
          </cell>
          <cell r="B319" t="str">
            <v>Cedars PRU</v>
          </cell>
        </row>
        <row r="320">
          <cell r="A320">
            <v>10318</v>
          </cell>
          <cell r="B320" t="str">
            <v>Pendlebury PRU</v>
          </cell>
        </row>
        <row r="321">
          <cell r="A321">
            <v>10319</v>
          </cell>
          <cell r="B321" t="str">
            <v>DP - Portage</v>
          </cell>
        </row>
        <row r="322">
          <cell r="A322">
            <v>10320</v>
          </cell>
          <cell r="B322" t="str">
            <v>Perip-BSS</v>
          </cell>
        </row>
        <row r="323">
          <cell r="A323">
            <v>10321</v>
          </cell>
          <cell r="B323" t="str">
            <v>PBSS Dev Project</v>
          </cell>
        </row>
        <row r="324">
          <cell r="A324">
            <v>10322</v>
          </cell>
          <cell r="B324" t="str">
            <v>LSS Inclusion Coord</v>
          </cell>
        </row>
        <row r="325">
          <cell r="A325">
            <v>10323</v>
          </cell>
          <cell r="B325" t="str">
            <v>*SEN-Primary Inclus</v>
          </cell>
        </row>
        <row r="326">
          <cell r="A326">
            <v>10324</v>
          </cell>
          <cell r="B326" t="str">
            <v>SEN Equipment</v>
          </cell>
        </row>
        <row r="327">
          <cell r="A327">
            <v>10325</v>
          </cell>
          <cell r="B327" t="str">
            <v>Sensory Support Serv</v>
          </cell>
        </row>
        <row r="328">
          <cell r="A328">
            <v>10326</v>
          </cell>
          <cell r="B328" t="str">
            <v>*Perip-Support Gener</v>
          </cell>
        </row>
        <row r="329">
          <cell r="A329">
            <v>10327</v>
          </cell>
          <cell r="B329" t="str">
            <v>*Perip-Teen Pregnanc</v>
          </cell>
        </row>
        <row r="330">
          <cell r="A330">
            <v>10328</v>
          </cell>
          <cell r="B330" t="str">
            <v>Primary Jigsaw</v>
          </cell>
        </row>
        <row r="331">
          <cell r="A331">
            <v>10329</v>
          </cell>
          <cell r="B331" t="str">
            <v>Highfields PRU</v>
          </cell>
        </row>
        <row r="332">
          <cell r="A332">
            <v>10330</v>
          </cell>
          <cell r="B332" t="str">
            <v>Castlehill Special S</v>
          </cell>
        </row>
        <row r="333">
          <cell r="A333">
            <v>10331</v>
          </cell>
          <cell r="B333" t="str">
            <v>Heaton Special Schoo</v>
          </cell>
        </row>
        <row r="334">
          <cell r="A334">
            <v>10332</v>
          </cell>
          <cell r="B334" t="str">
            <v>Lisburne Special Sch</v>
          </cell>
        </row>
        <row r="335">
          <cell r="A335">
            <v>10333</v>
          </cell>
          <cell r="B335" t="str">
            <v>Oakgrove Special Pri</v>
          </cell>
        </row>
        <row r="336">
          <cell r="A336">
            <v>10334</v>
          </cell>
          <cell r="B336" t="str">
            <v>Special Sch Places</v>
          </cell>
        </row>
        <row r="337">
          <cell r="A337">
            <v>10335</v>
          </cell>
          <cell r="B337" t="str">
            <v>Valley Special Schoo</v>
          </cell>
        </row>
        <row r="338">
          <cell r="A338">
            <v>10336</v>
          </cell>
          <cell r="B338" t="str">
            <v>Windlehurst Special</v>
          </cell>
        </row>
        <row r="339">
          <cell r="A339">
            <v>10337</v>
          </cell>
          <cell r="B339" t="str">
            <v>*Pry SU. Peacefield</v>
          </cell>
        </row>
        <row r="340">
          <cell r="A340">
            <v>10338</v>
          </cell>
          <cell r="B340" t="str">
            <v>Pri Res. Bredbury Gr</v>
          </cell>
        </row>
        <row r="341">
          <cell r="A341">
            <v>10339</v>
          </cell>
          <cell r="B341" t="str">
            <v>*Brookhead Jnr S</v>
          </cell>
        </row>
        <row r="342">
          <cell r="A342">
            <v>10340</v>
          </cell>
          <cell r="B342" t="str">
            <v>*Pri Res. Brookside</v>
          </cell>
        </row>
        <row r="343">
          <cell r="A343">
            <v>10341</v>
          </cell>
          <cell r="B343" t="str">
            <v>*Pry SU.Bradshaw Hal</v>
          </cell>
        </row>
        <row r="344">
          <cell r="A344">
            <v>10342</v>
          </cell>
          <cell r="B344" t="str">
            <v>SSK Catering CR's</v>
          </cell>
        </row>
        <row r="345">
          <cell r="A345">
            <v>10343</v>
          </cell>
          <cell r="B345" t="str">
            <v>*Pri Reso. Etchells</v>
          </cell>
        </row>
        <row r="346">
          <cell r="A346">
            <v>10344</v>
          </cell>
          <cell r="B346" t="str">
            <v>*Pri Res. Fir Tree</v>
          </cell>
        </row>
        <row r="347">
          <cell r="A347">
            <v>10345</v>
          </cell>
          <cell r="B347" t="str">
            <v>*Sec Res. Hazel Grov</v>
          </cell>
        </row>
        <row r="348">
          <cell r="A348">
            <v>10346</v>
          </cell>
          <cell r="B348" t="str">
            <v>*Pri Res. Ladybridge</v>
          </cell>
        </row>
        <row r="349">
          <cell r="A349">
            <v>10347</v>
          </cell>
          <cell r="B349" t="str">
            <v>Pri SU. Meadowbank</v>
          </cell>
        </row>
        <row r="350">
          <cell r="A350">
            <v>10348</v>
          </cell>
          <cell r="B350" t="str">
            <v>Pry SU. Moorfield</v>
          </cell>
        </row>
        <row r="351">
          <cell r="A351">
            <v>10349</v>
          </cell>
          <cell r="B351" t="str">
            <v>*Pri SU. Moss Hey</v>
          </cell>
        </row>
        <row r="352">
          <cell r="A352">
            <v>10350</v>
          </cell>
          <cell r="B352" t="str">
            <v>*Pry SU. Norbury Hal</v>
          </cell>
        </row>
        <row r="353">
          <cell r="A353">
            <v>10351</v>
          </cell>
          <cell r="B353" t="str">
            <v>*Sec Res. Offerton H</v>
          </cell>
        </row>
        <row r="354">
          <cell r="A354">
            <v>10352</v>
          </cell>
          <cell r="B354" t="str">
            <v>Resource Prov Place</v>
          </cell>
        </row>
        <row r="355">
          <cell r="A355">
            <v>10353</v>
          </cell>
          <cell r="B355" t="str">
            <v>*Pri Res. Queensgat</v>
          </cell>
        </row>
        <row r="356">
          <cell r="A356">
            <v>10354</v>
          </cell>
          <cell r="B356" t="str">
            <v>*Sec Res.The Kingswa</v>
          </cell>
        </row>
        <row r="357">
          <cell r="A357">
            <v>10355</v>
          </cell>
          <cell r="B357" t="str">
            <v>*Pry SU. Vernon Par</v>
          </cell>
        </row>
        <row r="358">
          <cell r="A358">
            <v>10356</v>
          </cell>
          <cell r="B358" t="str">
            <v>*1000</v>
          </cell>
        </row>
        <row r="359">
          <cell r="A359">
            <v>10357</v>
          </cell>
          <cell r="B359" t="str">
            <v>EHP Play -Play Devel</v>
          </cell>
        </row>
        <row r="360">
          <cell r="A360">
            <v>10358</v>
          </cell>
          <cell r="B360" t="str">
            <v>*EHP Play -Brinn Chi</v>
          </cell>
        </row>
        <row r="361">
          <cell r="A361">
            <v>10359</v>
          </cell>
          <cell r="B361" t="str">
            <v>*EHP Play -Buildings</v>
          </cell>
        </row>
        <row r="362">
          <cell r="A362">
            <v>10360</v>
          </cell>
          <cell r="B362" t="str">
            <v>*EHP Play -Creche</v>
          </cell>
        </row>
        <row r="363">
          <cell r="A363">
            <v>10361</v>
          </cell>
          <cell r="B363" t="str">
            <v>*EHP Play -Playschem</v>
          </cell>
        </row>
        <row r="364">
          <cell r="A364">
            <v>10362</v>
          </cell>
          <cell r="B364" t="str">
            <v>*EHP Play -Outreach</v>
          </cell>
        </row>
        <row r="365">
          <cell r="A365">
            <v>10363</v>
          </cell>
          <cell r="B365" t="str">
            <v>*EHP Play -More Pla</v>
          </cell>
        </row>
        <row r="366">
          <cell r="A366">
            <v>10364</v>
          </cell>
          <cell r="B366" t="str">
            <v>*EHP Play -Over Five</v>
          </cell>
        </row>
        <row r="367">
          <cell r="A367">
            <v>10365</v>
          </cell>
          <cell r="B367" t="str">
            <v>*EHP Play -Brindale</v>
          </cell>
        </row>
        <row r="368">
          <cell r="A368">
            <v>10366</v>
          </cell>
          <cell r="B368" t="str">
            <v>*EHP Play -Playbuild</v>
          </cell>
        </row>
        <row r="369">
          <cell r="A369">
            <v>10367</v>
          </cell>
          <cell r="B369" t="str">
            <v>*EHP Play -Mini Move</v>
          </cell>
        </row>
        <row r="370">
          <cell r="A370">
            <v>10368</v>
          </cell>
          <cell r="B370" t="str">
            <v>*EHP Play -Edgeley C</v>
          </cell>
        </row>
        <row r="371">
          <cell r="A371">
            <v>10369</v>
          </cell>
          <cell r="B371" t="str">
            <v>*Lea-General</v>
          </cell>
        </row>
        <row r="372">
          <cell r="A372">
            <v>10370</v>
          </cell>
          <cell r="B372" t="str">
            <v>Hospital Tuition</v>
          </cell>
        </row>
        <row r="373">
          <cell r="A373">
            <v>10371</v>
          </cell>
          <cell r="B373" t="str">
            <v>OLA pupils</v>
          </cell>
        </row>
        <row r="374">
          <cell r="A374">
            <v>10372</v>
          </cell>
          <cell r="B374" t="str">
            <v>SEN Independent Sch</v>
          </cell>
        </row>
        <row r="375">
          <cell r="A375">
            <v>10373</v>
          </cell>
          <cell r="B375" t="str">
            <v>SEN Trans-Home to Sc</v>
          </cell>
        </row>
        <row r="376">
          <cell r="A376">
            <v>10374</v>
          </cell>
          <cell r="B376" t="str">
            <v>Learner Support Fund</v>
          </cell>
        </row>
        <row r="377">
          <cell r="A377">
            <v>10375</v>
          </cell>
          <cell r="B377" t="str">
            <v>*Adult-Adswood&amp;B.Hal</v>
          </cell>
        </row>
        <row r="378">
          <cell r="A378">
            <v>10376</v>
          </cell>
          <cell r="B378" t="str">
            <v>*Adult-Aquinas Sla</v>
          </cell>
        </row>
        <row r="379">
          <cell r="A379">
            <v>10377</v>
          </cell>
          <cell r="B379" t="str">
            <v>*Adult-Avondale Hig</v>
          </cell>
        </row>
        <row r="380">
          <cell r="A380">
            <v>10378</v>
          </cell>
          <cell r="B380" t="str">
            <v>*Adult-Basic Skills</v>
          </cell>
        </row>
        <row r="381">
          <cell r="A381">
            <v>10379</v>
          </cell>
          <cell r="B381" t="str">
            <v>*Adult-Bredbury &amp; Ro</v>
          </cell>
        </row>
        <row r="382">
          <cell r="A382">
            <v>10380</v>
          </cell>
          <cell r="B382" t="str">
            <v>Adults</v>
          </cell>
        </row>
        <row r="383">
          <cell r="A383">
            <v>10381</v>
          </cell>
          <cell r="B383" t="str">
            <v>Learning &amp; Emp Admin</v>
          </cell>
        </row>
        <row r="384">
          <cell r="A384">
            <v>10382</v>
          </cell>
          <cell r="B384" t="str">
            <v>*Adult-Cheadle Hulm</v>
          </cell>
        </row>
        <row r="385">
          <cell r="A385">
            <v>10383</v>
          </cell>
          <cell r="B385" t="str">
            <v>*Adult-Dialstone Cen</v>
          </cell>
        </row>
        <row r="386">
          <cell r="A386">
            <v>10384</v>
          </cell>
          <cell r="B386" t="str">
            <v>*Adult-Family Learni</v>
          </cell>
        </row>
        <row r="387">
          <cell r="A387">
            <v>10385</v>
          </cell>
          <cell r="B387" t="str">
            <v>*Adult-General</v>
          </cell>
        </row>
        <row r="388">
          <cell r="A388">
            <v>10386</v>
          </cell>
          <cell r="B388" t="str">
            <v>*Adult-General</v>
          </cell>
        </row>
        <row r="389">
          <cell r="A389">
            <v>10387</v>
          </cell>
          <cell r="B389" t="str">
            <v>*Glengarth</v>
          </cell>
        </row>
        <row r="390">
          <cell r="A390">
            <v>10388</v>
          </cell>
          <cell r="B390" t="str">
            <v>*Adult-Hazel Grove</v>
          </cell>
        </row>
        <row r="391">
          <cell r="A391">
            <v>10389</v>
          </cell>
          <cell r="B391" t="str">
            <v>*Adult-Health &amp; Safe</v>
          </cell>
        </row>
        <row r="392">
          <cell r="A392">
            <v>10390</v>
          </cell>
          <cell r="B392" t="str">
            <v>*Adult-Learn Direc</v>
          </cell>
        </row>
        <row r="393">
          <cell r="A393">
            <v>10391</v>
          </cell>
          <cell r="B393" t="str">
            <v>*Adult-Life Long Lea</v>
          </cell>
        </row>
        <row r="394">
          <cell r="A394">
            <v>10392</v>
          </cell>
          <cell r="B394" t="str">
            <v>Communities</v>
          </cell>
        </row>
        <row r="395">
          <cell r="A395">
            <v>10393</v>
          </cell>
          <cell r="B395" t="str">
            <v>*Adult-North Area Sl</v>
          </cell>
        </row>
        <row r="396">
          <cell r="A396">
            <v>10394</v>
          </cell>
          <cell r="B396" t="str">
            <v>*Adult-Reddish</v>
          </cell>
        </row>
        <row r="397">
          <cell r="A397">
            <v>10395</v>
          </cell>
          <cell r="B397" t="str">
            <v>*Adult-Ridge Danyers</v>
          </cell>
        </row>
        <row r="398">
          <cell r="A398">
            <v>10396</v>
          </cell>
          <cell r="B398" t="str">
            <v>*Adult-Stockport Col</v>
          </cell>
        </row>
        <row r="399">
          <cell r="A399">
            <v>10397</v>
          </cell>
          <cell r="B399" t="str">
            <v>*Adult-Teacher Train</v>
          </cell>
        </row>
        <row r="400">
          <cell r="A400">
            <v>10398</v>
          </cell>
          <cell r="B400" t="str">
            <v>*Adult-Transp Pathfi</v>
          </cell>
        </row>
        <row r="401">
          <cell r="A401">
            <v>10399</v>
          </cell>
          <cell r="B401" t="str">
            <v>*Adult Lit Helpline</v>
          </cell>
        </row>
        <row r="402">
          <cell r="A402">
            <v>10400</v>
          </cell>
          <cell r="B402" t="str">
            <v>*Adult General</v>
          </cell>
        </row>
        <row r="403">
          <cell r="A403">
            <v>10401</v>
          </cell>
          <cell r="B403" t="str">
            <v>*Adult Child Care</v>
          </cell>
        </row>
        <row r="404">
          <cell r="A404">
            <v>10402</v>
          </cell>
          <cell r="B404" t="str">
            <v>*Adult English Lang</v>
          </cell>
        </row>
        <row r="405">
          <cell r="A405">
            <v>10403</v>
          </cell>
          <cell r="B405" t="str">
            <v>*Adult ESOL Interp</v>
          </cell>
        </row>
        <row r="406">
          <cell r="A406">
            <v>10404</v>
          </cell>
          <cell r="B406" t="str">
            <v>*Adult Family Learn</v>
          </cell>
        </row>
        <row r="407">
          <cell r="A407">
            <v>10405</v>
          </cell>
          <cell r="B407" t="str">
            <v>*Adult Kickstart Esf</v>
          </cell>
        </row>
        <row r="408">
          <cell r="A408">
            <v>10406</v>
          </cell>
          <cell r="B408" t="str">
            <v>*Adult LifeLong Lear</v>
          </cell>
        </row>
        <row r="409">
          <cell r="A409">
            <v>10407</v>
          </cell>
          <cell r="B409" t="str">
            <v>*Adult Skill For Lif</v>
          </cell>
        </row>
        <row r="410">
          <cell r="A410">
            <v>10408</v>
          </cell>
          <cell r="B410" t="str">
            <v>*Adult Slp Bs KeyWor</v>
          </cell>
        </row>
        <row r="411">
          <cell r="A411">
            <v>10409</v>
          </cell>
          <cell r="B411" t="str">
            <v>*Adult Stockport CC</v>
          </cell>
        </row>
        <row r="412">
          <cell r="A412">
            <v>10410</v>
          </cell>
          <cell r="B412" t="str">
            <v>*Adult Open Learnin</v>
          </cell>
        </row>
        <row r="413">
          <cell r="A413">
            <v>10411</v>
          </cell>
          <cell r="B413" t="str">
            <v>Adult Educ Project</v>
          </cell>
        </row>
        <row r="414">
          <cell r="A414">
            <v>10412</v>
          </cell>
          <cell r="B414" t="str">
            <v>*ICT AVA Technicians</v>
          </cell>
        </row>
        <row r="415">
          <cell r="A415">
            <v>10413</v>
          </cell>
          <cell r="B415" t="str">
            <v>Cheadle Heath Centre</v>
          </cell>
        </row>
        <row r="416">
          <cell r="A416">
            <v>10414</v>
          </cell>
          <cell r="B416" t="str">
            <v>*SI - Dialstone</v>
          </cell>
        </row>
        <row r="417">
          <cell r="A417">
            <v>10415</v>
          </cell>
          <cell r="B417" t="str">
            <v>*Edgeley Cent St Les</v>
          </cell>
        </row>
        <row r="418">
          <cell r="A418">
            <v>10416</v>
          </cell>
          <cell r="B418" t="str">
            <v>SI - Health Ed</v>
          </cell>
        </row>
        <row r="419">
          <cell r="A419">
            <v>10417</v>
          </cell>
          <cell r="B419" t="str">
            <v>SI - Music Service</v>
          </cell>
        </row>
        <row r="420">
          <cell r="A420">
            <v>10418</v>
          </cell>
          <cell r="B420" t="str">
            <v>*SI -Instrument Purc</v>
          </cell>
        </row>
        <row r="421">
          <cell r="A421">
            <v>10419</v>
          </cell>
          <cell r="B421" t="str">
            <v>*SI - Music Curric S</v>
          </cell>
        </row>
        <row r="422">
          <cell r="A422">
            <v>10420</v>
          </cell>
          <cell r="B422" t="str">
            <v>*SI - Grants for Grp</v>
          </cell>
        </row>
        <row r="423">
          <cell r="A423">
            <v>10421</v>
          </cell>
          <cell r="B423" t="str">
            <v>*Op Units - General</v>
          </cell>
        </row>
        <row r="424">
          <cell r="A424">
            <v>10422</v>
          </cell>
          <cell r="B424" t="str">
            <v>IT SIMS</v>
          </cell>
        </row>
        <row r="425">
          <cell r="A425">
            <v>10423</v>
          </cell>
          <cell r="B425" t="str">
            <v>SI - Assisted Purch</v>
          </cell>
        </row>
        <row r="426">
          <cell r="A426">
            <v>10424</v>
          </cell>
          <cell r="B426" t="str">
            <v>*SI - Exam Fees</v>
          </cell>
        </row>
        <row r="427">
          <cell r="A427">
            <v>10425</v>
          </cell>
          <cell r="B427" t="str">
            <v>*SI - Youth Choir</v>
          </cell>
        </row>
        <row r="428">
          <cell r="A428">
            <v>10426</v>
          </cell>
          <cell r="B428" t="str">
            <v>*WD-EIG/Tr/Soc.Wrks</v>
          </cell>
        </row>
        <row r="429">
          <cell r="A429">
            <v>10427</v>
          </cell>
          <cell r="B429" t="str">
            <v>*14-19 ESF NEET</v>
          </cell>
        </row>
        <row r="430">
          <cell r="A430">
            <v>10428</v>
          </cell>
          <cell r="B430" t="str">
            <v>SEN Trans-Post 16-Sp</v>
          </cell>
        </row>
        <row r="431">
          <cell r="A431">
            <v>10429</v>
          </cell>
          <cell r="B431" t="str">
            <v>SS-FreeSclTrans-Pri</v>
          </cell>
        </row>
        <row r="432">
          <cell r="A432">
            <v>10430</v>
          </cell>
          <cell r="B432" t="str">
            <v>SS-FreeSclTrans-Sec</v>
          </cell>
        </row>
        <row r="433">
          <cell r="A433">
            <v>10431</v>
          </cell>
          <cell r="B433" t="str">
            <v>YJB Junior Asmt Ctrs</v>
          </cell>
        </row>
        <row r="434">
          <cell r="A434">
            <v>10432</v>
          </cell>
          <cell r="B434" t="str">
            <v>TC-Bal Of Risks Ins</v>
          </cell>
        </row>
        <row r="435">
          <cell r="A435">
            <v>10433</v>
          </cell>
          <cell r="B435" t="str">
            <v>TC-Cap Chgs-Nursery</v>
          </cell>
        </row>
        <row r="436">
          <cell r="A436">
            <v>10434</v>
          </cell>
          <cell r="B436" t="str">
            <v>TC-Cap Chgs-Primary</v>
          </cell>
        </row>
        <row r="437">
          <cell r="A437">
            <v>10435</v>
          </cell>
          <cell r="B437" t="str">
            <v>TC-Cap Chgs-Seconda</v>
          </cell>
        </row>
        <row r="438">
          <cell r="A438">
            <v>10436</v>
          </cell>
          <cell r="B438" t="str">
            <v>TC-Cap Chgs-Special</v>
          </cell>
        </row>
        <row r="439">
          <cell r="A439">
            <v>10437</v>
          </cell>
          <cell r="B439" t="str">
            <v>Schools Contingency</v>
          </cell>
        </row>
        <row r="440">
          <cell r="A440">
            <v>10438</v>
          </cell>
          <cell r="B440" t="str">
            <v>*Contingency - Secon</v>
          </cell>
        </row>
        <row r="441">
          <cell r="A441">
            <v>10439</v>
          </cell>
          <cell r="B441" t="str">
            <v>*Contingency - Speci</v>
          </cell>
        </row>
        <row r="442">
          <cell r="A442">
            <v>10440</v>
          </cell>
          <cell r="B442" t="str">
            <v>PAN Manchester Grant</v>
          </cell>
        </row>
        <row r="443">
          <cell r="A443">
            <v>10441</v>
          </cell>
          <cell r="B443" t="str">
            <v>Crb Checks (Schools)</v>
          </cell>
        </row>
        <row r="444">
          <cell r="A444">
            <v>10442</v>
          </cell>
          <cell r="B444" t="str">
            <v>Dedicated School Gra</v>
          </cell>
        </row>
        <row r="445">
          <cell r="A445">
            <v>10443</v>
          </cell>
          <cell r="B445" t="str">
            <v>Bridge Coll Rent Inc</v>
          </cell>
        </row>
        <row r="446">
          <cell r="A446">
            <v>10444</v>
          </cell>
          <cell r="B446" t="str">
            <v>SC - Out of Hours Te</v>
          </cell>
        </row>
        <row r="447">
          <cell r="A447">
            <v>10445</v>
          </cell>
          <cell r="B447" t="str">
            <v>*LEA Init - Secondar</v>
          </cell>
        </row>
        <row r="448">
          <cell r="A448">
            <v>10446</v>
          </cell>
          <cell r="B448" t="str">
            <v>YPLA</v>
          </cell>
        </row>
        <row r="449">
          <cell r="A449">
            <v>10447</v>
          </cell>
          <cell r="B449" t="str">
            <v>DSG Practical Learni</v>
          </cell>
        </row>
        <row r="450">
          <cell r="A450">
            <v>10448</v>
          </cell>
          <cell r="B450" t="str">
            <v>*Making It Back</v>
          </cell>
        </row>
        <row r="451">
          <cell r="A451">
            <v>10449</v>
          </cell>
          <cell r="B451" t="str">
            <v>Maternity Pay-Nurse</v>
          </cell>
        </row>
        <row r="452">
          <cell r="A452">
            <v>10450</v>
          </cell>
          <cell r="B452" t="str">
            <v>Maternity Pay-Prim</v>
          </cell>
        </row>
        <row r="453">
          <cell r="A453">
            <v>10451</v>
          </cell>
          <cell r="B453" t="str">
            <v>Maternity Pay-Secon</v>
          </cell>
        </row>
        <row r="454">
          <cell r="A454">
            <v>10452</v>
          </cell>
          <cell r="B454" t="str">
            <v>Maternity Pay-Spec</v>
          </cell>
        </row>
        <row r="455">
          <cell r="A455">
            <v>10453</v>
          </cell>
          <cell r="B455" t="str">
            <v>Maternity Pay-Specia</v>
          </cell>
        </row>
        <row r="456">
          <cell r="A456">
            <v>10454</v>
          </cell>
          <cell r="B456" t="str">
            <v>ICS Grant</v>
          </cell>
        </row>
        <row r="457">
          <cell r="A457">
            <v>10455</v>
          </cell>
          <cell r="B457" t="str">
            <v>*SO-Milk Subsidy</v>
          </cell>
        </row>
        <row r="458">
          <cell r="A458">
            <v>10456</v>
          </cell>
          <cell r="B458" t="str">
            <v>SS-Prc - Nursery</v>
          </cell>
        </row>
        <row r="459">
          <cell r="A459">
            <v>10457</v>
          </cell>
          <cell r="B459" t="str">
            <v>SS-Prc - Primary</v>
          </cell>
        </row>
        <row r="460">
          <cell r="A460">
            <v>10458</v>
          </cell>
          <cell r="B460" t="str">
            <v>SS-Prc - Secondary</v>
          </cell>
        </row>
        <row r="461">
          <cell r="A461">
            <v>10459</v>
          </cell>
          <cell r="B461" t="str">
            <v>SS-Prc - Special</v>
          </cell>
        </row>
        <row r="462">
          <cell r="A462">
            <v>10460</v>
          </cell>
          <cell r="B462" t="str">
            <v>SS-Prc - Special Uni</v>
          </cell>
        </row>
        <row r="463">
          <cell r="A463">
            <v>10461</v>
          </cell>
          <cell r="B463" t="str">
            <v>Primary Caretakers</v>
          </cell>
        </row>
        <row r="464">
          <cell r="A464">
            <v>10462</v>
          </cell>
          <cell r="B464" t="str">
            <v>Primary-School Suppo</v>
          </cell>
        </row>
        <row r="465">
          <cell r="A465">
            <v>10463</v>
          </cell>
          <cell r="B465" t="str">
            <v>School Closure</v>
          </cell>
        </row>
        <row r="466">
          <cell r="A466">
            <v>10464</v>
          </cell>
          <cell r="B466" t="str">
            <v>*Schools in Fin Diff</v>
          </cell>
        </row>
        <row r="467">
          <cell r="A467">
            <v>10465</v>
          </cell>
          <cell r="B467" t="str">
            <v>*Schools Stands Grnt</v>
          </cell>
        </row>
        <row r="468">
          <cell r="A468">
            <v>10466</v>
          </cell>
          <cell r="B468" t="str">
            <v>*TC-Schs Laptop Ins</v>
          </cell>
        </row>
        <row r="469">
          <cell r="A469">
            <v>10467</v>
          </cell>
          <cell r="B469" t="str">
            <v>Secondary Caretakers</v>
          </cell>
        </row>
        <row r="470">
          <cell r="A470">
            <v>10468</v>
          </cell>
          <cell r="B470" t="str">
            <v>*Secondary-School Su</v>
          </cell>
        </row>
        <row r="471">
          <cell r="A471">
            <v>10469</v>
          </cell>
          <cell r="B471" t="str">
            <v>TC-Staff SicknessIns</v>
          </cell>
        </row>
        <row r="472">
          <cell r="A472">
            <v>10470</v>
          </cell>
          <cell r="B472" t="str">
            <v>*TaMHS</v>
          </cell>
        </row>
        <row r="473">
          <cell r="A473">
            <v>10471</v>
          </cell>
          <cell r="B473" t="str">
            <v>T.Union Posts-Primar</v>
          </cell>
        </row>
        <row r="474">
          <cell r="A474">
            <v>10472</v>
          </cell>
          <cell r="B474" t="str">
            <v>T.Union facilities</v>
          </cell>
        </row>
        <row r="475">
          <cell r="A475">
            <v>10473</v>
          </cell>
          <cell r="B475" t="str">
            <v>*S.Meal-Adswood Nurs</v>
          </cell>
        </row>
        <row r="476">
          <cell r="A476">
            <v>10474</v>
          </cell>
          <cell r="B476" t="str">
            <v>*S.Meals-Avondale</v>
          </cell>
        </row>
        <row r="477">
          <cell r="A477">
            <v>10475</v>
          </cell>
          <cell r="B477" t="str">
            <v>*S.Meal-Belmont Nurs</v>
          </cell>
        </row>
        <row r="478">
          <cell r="A478">
            <v>10476</v>
          </cell>
          <cell r="B478" t="str">
            <v>*S.Meal-Bramhall Hig</v>
          </cell>
        </row>
        <row r="479">
          <cell r="A479">
            <v>10477</v>
          </cell>
          <cell r="B479" t="str">
            <v>*S.Meals-Brinn Early</v>
          </cell>
        </row>
        <row r="480">
          <cell r="A480">
            <v>10478</v>
          </cell>
          <cell r="B480" t="str">
            <v>*S.Meal-Cheadle.H Co</v>
          </cell>
        </row>
        <row r="481">
          <cell r="A481">
            <v>10479</v>
          </cell>
          <cell r="B481" t="str">
            <v>*S.Meal-Fir Tree Nur</v>
          </cell>
        </row>
        <row r="482">
          <cell r="A482">
            <v>10480</v>
          </cell>
          <cell r="B482" t="str">
            <v>*S.Meal-Freshfield N</v>
          </cell>
        </row>
        <row r="483">
          <cell r="A483">
            <v>10481</v>
          </cell>
          <cell r="B483" t="str">
            <v>*S.Meal-Harrytown R</v>
          </cell>
        </row>
        <row r="484">
          <cell r="A484">
            <v>10482</v>
          </cell>
          <cell r="B484" t="str">
            <v>*S.Meal-Hazel Grove</v>
          </cell>
        </row>
        <row r="485">
          <cell r="A485">
            <v>10483</v>
          </cell>
          <cell r="B485" t="str">
            <v>*S.Meals-Hollywood P</v>
          </cell>
        </row>
        <row r="486">
          <cell r="A486">
            <v>10484</v>
          </cell>
          <cell r="B486" t="str">
            <v>*S.Meals-Lark Hill N</v>
          </cell>
        </row>
        <row r="487">
          <cell r="A487">
            <v>10485</v>
          </cell>
          <cell r="B487" t="str">
            <v>*S.Meal-Marple Hall</v>
          </cell>
        </row>
        <row r="488">
          <cell r="A488">
            <v>10486</v>
          </cell>
          <cell r="B488" t="str">
            <v>*S.Meal-Meadowbank P</v>
          </cell>
        </row>
        <row r="489">
          <cell r="A489">
            <v>10487</v>
          </cell>
          <cell r="B489" t="str">
            <v>*S.Meal-Nevill Road</v>
          </cell>
        </row>
        <row r="490">
          <cell r="A490">
            <v>10488</v>
          </cell>
          <cell r="B490" t="str">
            <v>*S.Meal-Nth Chesh Je</v>
          </cell>
        </row>
        <row r="491">
          <cell r="A491">
            <v>10489</v>
          </cell>
          <cell r="B491" t="str">
            <v>*S.Meals-Gen Nurser</v>
          </cell>
        </row>
        <row r="492">
          <cell r="A492">
            <v>10490</v>
          </cell>
          <cell r="B492" t="str">
            <v>*S.Meal-Offerton Hal</v>
          </cell>
        </row>
        <row r="493">
          <cell r="A493">
            <v>10491</v>
          </cell>
          <cell r="B493" t="str">
            <v>*S.Meal-Offerton Hig</v>
          </cell>
        </row>
        <row r="494">
          <cell r="A494">
            <v>10492</v>
          </cell>
          <cell r="B494" t="str">
            <v>*S.Meal-Priestnall H</v>
          </cell>
        </row>
        <row r="495">
          <cell r="A495">
            <v>10493</v>
          </cell>
          <cell r="B495" t="str">
            <v>*S.Meals-Reddish Val</v>
          </cell>
        </row>
        <row r="496">
          <cell r="A496">
            <v>10494</v>
          </cell>
          <cell r="B496" t="str">
            <v>*S.Meal-Reddish Vale</v>
          </cell>
        </row>
        <row r="497">
          <cell r="A497">
            <v>10495</v>
          </cell>
          <cell r="B497" t="str">
            <v>*S.Meal-Gen Secondar</v>
          </cell>
        </row>
        <row r="498">
          <cell r="A498">
            <v>10496</v>
          </cell>
          <cell r="B498" t="str">
            <v>*S.Meal-St Anne'S Rc</v>
          </cell>
        </row>
        <row r="499">
          <cell r="A499">
            <v>10497</v>
          </cell>
          <cell r="B499" t="str">
            <v>*S.Meal-St James' Rc</v>
          </cell>
        </row>
        <row r="500">
          <cell r="A500">
            <v>10498</v>
          </cell>
          <cell r="B500" t="str">
            <v>*S.Meal-Stockport Sc</v>
          </cell>
        </row>
        <row r="501">
          <cell r="A501">
            <v>10499</v>
          </cell>
          <cell r="B501" t="str">
            <v>*IPT-School Perform</v>
          </cell>
        </row>
        <row r="502">
          <cell r="A502">
            <v>10500</v>
          </cell>
          <cell r="B502" t="str">
            <v>*S.Meal-The Kingsway</v>
          </cell>
        </row>
        <row r="503">
          <cell r="A503">
            <v>10501</v>
          </cell>
          <cell r="B503" t="str">
            <v>*S.Meal-Werneth High</v>
          </cell>
        </row>
        <row r="504">
          <cell r="A504">
            <v>10502</v>
          </cell>
          <cell r="B504" t="str">
            <v>*S.Meals-Woodley Pri</v>
          </cell>
        </row>
        <row r="505">
          <cell r="A505">
            <v>10503</v>
          </cell>
          <cell r="B505" t="str">
            <v>*Adult Sqt-Bus' Admi</v>
          </cell>
        </row>
        <row r="506">
          <cell r="A506">
            <v>10504</v>
          </cell>
          <cell r="B506" t="str">
            <v>*Adult Sqt-CO Elderl</v>
          </cell>
        </row>
        <row r="507">
          <cell r="A507">
            <v>10505</v>
          </cell>
          <cell r="B507" t="str">
            <v>*Adult Sqt-Customer</v>
          </cell>
        </row>
        <row r="508">
          <cell r="A508">
            <v>10506</v>
          </cell>
          <cell r="B508" t="str">
            <v>*Adult Sqt-Early Yrs</v>
          </cell>
        </row>
        <row r="509">
          <cell r="A509">
            <v>10507</v>
          </cell>
          <cell r="B509" t="str">
            <v>Skills</v>
          </cell>
        </row>
        <row r="510">
          <cell r="A510">
            <v>10508</v>
          </cell>
          <cell r="B510" t="str">
            <v>*Adult Sqt-Horticult</v>
          </cell>
        </row>
        <row r="511">
          <cell r="A511">
            <v>10509</v>
          </cell>
          <cell r="B511" t="str">
            <v>*Adult Sqt - IT</v>
          </cell>
        </row>
        <row r="512">
          <cell r="A512">
            <v>10510</v>
          </cell>
          <cell r="B512" t="str">
            <v>*Adult Sqt-Key Skill</v>
          </cell>
        </row>
        <row r="513">
          <cell r="A513">
            <v>10511</v>
          </cell>
          <cell r="B513" t="str">
            <v>Contin Educ Service</v>
          </cell>
        </row>
        <row r="514">
          <cell r="A514">
            <v>10512</v>
          </cell>
          <cell r="B514" t="str">
            <v>*Adult Sqt- Vehicle</v>
          </cell>
        </row>
        <row r="515">
          <cell r="A515">
            <v>10513</v>
          </cell>
          <cell r="B515" t="str">
            <v>*Adult Sqt-Prep Trai</v>
          </cell>
        </row>
        <row r="516">
          <cell r="A516">
            <v>10514</v>
          </cell>
          <cell r="B516" t="str">
            <v>*S.Meals-All Saints</v>
          </cell>
        </row>
        <row r="517">
          <cell r="A517">
            <v>10515</v>
          </cell>
          <cell r="B517" t="str">
            <v>*S.Meals-All Saints</v>
          </cell>
        </row>
        <row r="518">
          <cell r="A518">
            <v>10516</v>
          </cell>
          <cell r="B518" t="str">
            <v>*S.Meals-Arden Pri</v>
          </cell>
        </row>
        <row r="519">
          <cell r="A519">
            <v>10517</v>
          </cell>
          <cell r="B519" t="str">
            <v>*S.Meals-Banks Ln In</v>
          </cell>
        </row>
        <row r="520">
          <cell r="A520">
            <v>10518</v>
          </cell>
          <cell r="B520" t="str">
            <v>*S.Meals-Banks Ln Jn</v>
          </cell>
        </row>
        <row r="521">
          <cell r="A521">
            <v>10519</v>
          </cell>
          <cell r="B521" t="str">
            <v>*S.Meals-Barrack Hil</v>
          </cell>
        </row>
        <row r="522">
          <cell r="A522">
            <v>10520</v>
          </cell>
          <cell r="B522" t="str">
            <v>*S.Meals-Bolshaw Pri</v>
          </cell>
        </row>
        <row r="523">
          <cell r="A523">
            <v>10521</v>
          </cell>
          <cell r="B523" t="str">
            <v>*S.Meal-Bradshaw Hal</v>
          </cell>
        </row>
        <row r="524">
          <cell r="A524">
            <v>10522</v>
          </cell>
          <cell r="B524" t="str">
            <v>*S.Meals-Bredbury Gr</v>
          </cell>
        </row>
        <row r="525">
          <cell r="A525">
            <v>10523</v>
          </cell>
          <cell r="B525" t="str">
            <v>*S.Meals-Bridge Hall</v>
          </cell>
        </row>
        <row r="526">
          <cell r="A526">
            <v>10524</v>
          </cell>
          <cell r="B526" t="str">
            <v>*S.Meals-Broadstone</v>
          </cell>
        </row>
        <row r="527">
          <cell r="A527">
            <v>10525</v>
          </cell>
          <cell r="B527" t="str">
            <v>*S.Meals-Brookhead</v>
          </cell>
        </row>
        <row r="528">
          <cell r="A528">
            <v>10526</v>
          </cell>
          <cell r="B528" t="str">
            <v>*S.Meals-Brookside P</v>
          </cell>
        </row>
        <row r="529">
          <cell r="A529">
            <v>10527</v>
          </cell>
          <cell r="B529" t="str">
            <v>*S.Meals-Bruntwood</v>
          </cell>
        </row>
        <row r="530">
          <cell r="A530">
            <v>10528</v>
          </cell>
          <cell r="B530" t="str">
            <v>*S.Meals-Cale Green</v>
          </cell>
        </row>
        <row r="531">
          <cell r="A531">
            <v>10529</v>
          </cell>
          <cell r="B531" t="str">
            <v>*S.Meals-C Heath Pri</v>
          </cell>
        </row>
        <row r="532">
          <cell r="A532">
            <v>10530</v>
          </cell>
          <cell r="B532" t="str">
            <v>*S.Meals-Cheadle Pri</v>
          </cell>
        </row>
        <row r="533">
          <cell r="A533">
            <v>10531</v>
          </cell>
          <cell r="B533" t="str">
            <v>*S.Meal-Cheadle RC</v>
          </cell>
        </row>
        <row r="534">
          <cell r="A534">
            <v>10532</v>
          </cell>
          <cell r="B534" t="str">
            <v>*S.Meals-Cheadle RC</v>
          </cell>
        </row>
        <row r="535">
          <cell r="A535">
            <v>10533</v>
          </cell>
          <cell r="B535" t="str">
            <v>*S.Meals-Demmings</v>
          </cell>
        </row>
        <row r="536">
          <cell r="A536">
            <v>10534</v>
          </cell>
          <cell r="B536" t="str">
            <v>*S.Meals-Dial Park P</v>
          </cell>
        </row>
        <row r="537">
          <cell r="A537">
            <v>10535</v>
          </cell>
          <cell r="B537" t="str">
            <v>*S.Meals-Didsbury Rd</v>
          </cell>
        </row>
        <row r="538">
          <cell r="A538">
            <v>10536</v>
          </cell>
          <cell r="B538" t="str">
            <v>*S.Meals-Etchells Pr</v>
          </cell>
        </row>
        <row r="539">
          <cell r="A539">
            <v>10537</v>
          </cell>
          <cell r="B539" t="str">
            <v>*S.Meals-Fairway Pri</v>
          </cell>
        </row>
        <row r="540">
          <cell r="A540">
            <v>10538</v>
          </cell>
          <cell r="B540" t="str">
            <v>*S.Meals-Fir Tree Pr</v>
          </cell>
        </row>
        <row r="541">
          <cell r="A541">
            <v>10539</v>
          </cell>
          <cell r="B541" t="str">
            <v>*S.Meals-Gatley Prim</v>
          </cell>
        </row>
        <row r="542">
          <cell r="A542">
            <v>10540</v>
          </cell>
          <cell r="B542" t="str">
            <v>*S.Meals-Gen Primary</v>
          </cell>
        </row>
        <row r="543">
          <cell r="A543">
            <v>10541</v>
          </cell>
          <cell r="B543" t="str">
            <v>*S.Meals-Abingdon Pr</v>
          </cell>
        </row>
        <row r="544">
          <cell r="A544">
            <v>10542</v>
          </cell>
          <cell r="B544" t="str">
            <v>*S.Meals-Adswood</v>
          </cell>
        </row>
        <row r="545">
          <cell r="A545">
            <v>10543</v>
          </cell>
          <cell r="B545" t="str">
            <v>*S.Meals-Alexandra P</v>
          </cell>
        </row>
        <row r="546">
          <cell r="A546">
            <v>10544</v>
          </cell>
          <cell r="B546" t="str">
            <v>*S.Meals-Alexandra J</v>
          </cell>
        </row>
        <row r="547">
          <cell r="A547">
            <v>10545</v>
          </cell>
          <cell r="B547" t="str">
            <v>*S.Meals-Gt Moor In</v>
          </cell>
        </row>
        <row r="548">
          <cell r="A548">
            <v>10546</v>
          </cell>
          <cell r="B548" t="str">
            <v>*S.Meals-Gt Moor Jn</v>
          </cell>
        </row>
        <row r="549">
          <cell r="A549">
            <v>10547</v>
          </cell>
          <cell r="B549" t="str">
            <v>*S.Meals-Greave Pri</v>
          </cell>
        </row>
        <row r="550">
          <cell r="A550">
            <v>10548</v>
          </cell>
          <cell r="B550" t="str">
            <v>*S.Meals-Hazel G Pri</v>
          </cell>
        </row>
        <row r="551">
          <cell r="A551">
            <v>10549</v>
          </cell>
          <cell r="B551" t="str">
            <v>*S.Meals-High Lane P</v>
          </cell>
        </row>
        <row r="552">
          <cell r="A552">
            <v>10550</v>
          </cell>
          <cell r="B552" t="str">
            <v>*S.Meal-Hursthead In</v>
          </cell>
        </row>
        <row r="553">
          <cell r="A553">
            <v>10551</v>
          </cell>
          <cell r="B553" t="str">
            <v>*S.Meal-Hursthead Jn</v>
          </cell>
        </row>
        <row r="554">
          <cell r="A554">
            <v>10552</v>
          </cell>
          <cell r="B554" t="str">
            <v>*S.Meals-Ladybridge</v>
          </cell>
        </row>
        <row r="555">
          <cell r="A555">
            <v>10553</v>
          </cell>
          <cell r="B555" t="str">
            <v>*S.Meals-Ladybrook P</v>
          </cell>
        </row>
        <row r="556">
          <cell r="A556">
            <v>10554</v>
          </cell>
          <cell r="B556" t="str">
            <v>*S.Meals-Lane End Pr</v>
          </cell>
        </row>
        <row r="557">
          <cell r="A557">
            <v>10555</v>
          </cell>
          <cell r="B557" t="str">
            <v>*S.Meals-Lark Hill P</v>
          </cell>
        </row>
        <row r="558">
          <cell r="A558">
            <v>10556</v>
          </cell>
          <cell r="B558" t="str">
            <v>*S.Meals-Ludworth Pr</v>
          </cell>
        </row>
        <row r="559">
          <cell r="A559">
            <v>10557</v>
          </cell>
          <cell r="B559" t="str">
            <v>*S.Meals-Lum Head Pr</v>
          </cell>
        </row>
        <row r="560">
          <cell r="A560">
            <v>10558</v>
          </cell>
          <cell r="B560" t="str">
            <v>*S.Meals-Mellor Prim</v>
          </cell>
        </row>
        <row r="561">
          <cell r="A561">
            <v>10559</v>
          </cell>
          <cell r="B561" t="str">
            <v>*S.Meal-Mersey Vale</v>
          </cell>
        </row>
        <row r="562">
          <cell r="A562">
            <v>10560</v>
          </cell>
          <cell r="B562" t="str">
            <v>*S.Meal-Moorfield Pr</v>
          </cell>
        </row>
        <row r="563">
          <cell r="A563">
            <v>10561</v>
          </cell>
          <cell r="B563" t="str">
            <v>*S.Meals-Moorfield</v>
          </cell>
        </row>
        <row r="564">
          <cell r="A564">
            <v>10562</v>
          </cell>
          <cell r="B564" t="str">
            <v>*S.Meals-Moss Hey Pr</v>
          </cell>
        </row>
        <row r="565">
          <cell r="A565">
            <v>10563</v>
          </cell>
          <cell r="B565" t="str">
            <v>*S.Meals-Norbury Hal</v>
          </cell>
        </row>
        <row r="566">
          <cell r="A566">
            <v>10564</v>
          </cell>
          <cell r="B566" t="str">
            <v>*S.Meal-Norris Bank</v>
          </cell>
        </row>
        <row r="567">
          <cell r="A567">
            <v>10565</v>
          </cell>
          <cell r="B567" t="str">
            <v>*S.Meals-Vale View P</v>
          </cell>
        </row>
        <row r="568">
          <cell r="A568">
            <v>10566</v>
          </cell>
          <cell r="B568" t="str">
            <v>*S.Meal-N Reddish I</v>
          </cell>
        </row>
        <row r="569">
          <cell r="A569">
            <v>10567</v>
          </cell>
          <cell r="B569" t="str">
            <v>*S.Meal-N Reddish J</v>
          </cell>
        </row>
        <row r="570">
          <cell r="A570">
            <v>10568</v>
          </cell>
          <cell r="B570" t="str">
            <v>*S.Meals-Offerton Ha</v>
          </cell>
        </row>
        <row r="571">
          <cell r="A571">
            <v>10569</v>
          </cell>
          <cell r="B571" t="str">
            <v>*S.Meals-Orrishmer</v>
          </cell>
        </row>
        <row r="572">
          <cell r="A572">
            <v>10570</v>
          </cell>
          <cell r="B572" t="str">
            <v>*S.Meals-Our Ladys R</v>
          </cell>
        </row>
        <row r="573">
          <cell r="A573">
            <v>10571</v>
          </cell>
          <cell r="B573" t="str">
            <v>*S.Meals-Outwood Pri</v>
          </cell>
        </row>
        <row r="574">
          <cell r="A574">
            <v>10572</v>
          </cell>
          <cell r="B574" t="str">
            <v>*S.Meal-Peacefield P</v>
          </cell>
        </row>
        <row r="575">
          <cell r="A575">
            <v>10573</v>
          </cell>
          <cell r="B575" t="str">
            <v>*S.Meal-Pownall Grn</v>
          </cell>
        </row>
        <row r="576">
          <cell r="A576">
            <v>10574</v>
          </cell>
          <cell r="B576" t="str">
            <v>*S.Meal-Prospect Val</v>
          </cell>
        </row>
        <row r="577">
          <cell r="A577">
            <v>10575</v>
          </cell>
          <cell r="B577" t="str">
            <v>*S.Meals-Queens Rd P</v>
          </cell>
        </row>
        <row r="578">
          <cell r="A578">
            <v>10576</v>
          </cell>
          <cell r="B578" t="str">
            <v>*S.Meals-Queensgate</v>
          </cell>
        </row>
        <row r="579">
          <cell r="A579">
            <v>10577</v>
          </cell>
          <cell r="B579" t="str">
            <v>*S.Meals-Romiley P</v>
          </cell>
        </row>
        <row r="580">
          <cell r="A580">
            <v>10578</v>
          </cell>
          <cell r="B580" t="str">
            <v>*S.Meals-Rose Hill P</v>
          </cell>
        </row>
        <row r="581">
          <cell r="A581">
            <v>10579</v>
          </cell>
          <cell r="B581" t="str">
            <v>*S.Meals-Springwood</v>
          </cell>
        </row>
        <row r="582">
          <cell r="A582">
            <v>10580</v>
          </cell>
          <cell r="B582" t="str">
            <v>*S.Meal-St Ambrose R</v>
          </cell>
        </row>
        <row r="583">
          <cell r="A583">
            <v>10581</v>
          </cell>
          <cell r="B583" t="str">
            <v>*S.Meals-St Bernadet</v>
          </cell>
        </row>
        <row r="584">
          <cell r="A584">
            <v>10582</v>
          </cell>
          <cell r="B584" t="str">
            <v>*S.Meals-St Christop</v>
          </cell>
        </row>
        <row r="585">
          <cell r="A585">
            <v>10583</v>
          </cell>
          <cell r="B585" t="str">
            <v>*S.Meal-St Elisabeth</v>
          </cell>
        </row>
        <row r="586">
          <cell r="A586">
            <v>10584</v>
          </cell>
          <cell r="B586" t="str">
            <v>*S.Meal-St Georges C</v>
          </cell>
        </row>
        <row r="587">
          <cell r="A587">
            <v>10585</v>
          </cell>
          <cell r="B587" t="str">
            <v>*S.Meals-St Johns C</v>
          </cell>
        </row>
        <row r="588">
          <cell r="A588">
            <v>10586</v>
          </cell>
          <cell r="B588" t="str">
            <v>*S.Meal-St Josephs I</v>
          </cell>
        </row>
        <row r="589">
          <cell r="A589">
            <v>10587</v>
          </cell>
          <cell r="B589" t="str">
            <v>*S.Meal-St Josephs R</v>
          </cell>
        </row>
        <row r="590">
          <cell r="A590">
            <v>10588</v>
          </cell>
          <cell r="B590" t="str">
            <v>*S.Meal-St Josephs S</v>
          </cell>
        </row>
        <row r="591">
          <cell r="A591">
            <v>10589</v>
          </cell>
          <cell r="B591" t="str">
            <v>*S.Meals-St Marks C</v>
          </cell>
        </row>
        <row r="592">
          <cell r="A592">
            <v>10590</v>
          </cell>
          <cell r="B592" t="str">
            <v>*S.Meal-St Marys (M</v>
          </cell>
        </row>
        <row r="593">
          <cell r="A593">
            <v>10591</v>
          </cell>
          <cell r="B593" t="str">
            <v>*S.Meal-St Marys (S</v>
          </cell>
        </row>
        <row r="594">
          <cell r="A594">
            <v>10592</v>
          </cell>
          <cell r="B594" t="str">
            <v>*S.Meal-St Marys CE</v>
          </cell>
        </row>
        <row r="595">
          <cell r="A595">
            <v>10593</v>
          </cell>
          <cell r="B595" t="str">
            <v>*S.Meals-St Matthew</v>
          </cell>
        </row>
        <row r="596">
          <cell r="A596">
            <v>10594</v>
          </cell>
          <cell r="B596" t="str">
            <v>*S.Meals-St Pauls C</v>
          </cell>
        </row>
        <row r="597">
          <cell r="A597">
            <v>10595</v>
          </cell>
          <cell r="B597" t="str">
            <v>*S.Meals-St Peters</v>
          </cell>
        </row>
        <row r="598">
          <cell r="A598">
            <v>10596</v>
          </cell>
          <cell r="B598" t="str">
            <v>*S.Meal-St Philips R</v>
          </cell>
        </row>
        <row r="599">
          <cell r="A599">
            <v>10597</v>
          </cell>
          <cell r="B599" t="str">
            <v>*S.Meals-St Simons R</v>
          </cell>
        </row>
        <row r="600">
          <cell r="A600">
            <v>10598</v>
          </cell>
          <cell r="B600" t="str">
            <v>*SO-Kit Equip/Engy B</v>
          </cell>
        </row>
        <row r="601">
          <cell r="A601">
            <v>10599</v>
          </cell>
          <cell r="B601" t="str">
            <v>*S.Meal-St Thomas(HC</v>
          </cell>
        </row>
        <row r="602">
          <cell r="A602">
            <v>10600</v>
          </cell>
          <cell r="B602" t="str">
            <v>*S.Meal-St Thomas (S</v>
          </cell>
        </row>
        <row r="603">
          <cell r="A603">
            <v>10601</v>
          </cell>
          <cell r="B603" t="str">
            <v>*S.Meals-St Winifred</v>
          </cell>
        </row>
        <row r="604">
          <cell r="A604">
            <v>10602</v>
          </cell>
          <cell r="B604" t="str">
            <v>*S.Meals-Tame Valley</v>
          </cell>
        </row>
        <row r="605">
          <cell r="A605">
            <v>10603</v>
          </cell>
          <cell r="B605" t="str">
            <v>*S.Meals-The Dale Pr</v>
          </cell>
        </row>
        <row r="606">
          <cell r="A606">
            <v>10604</v>
          </cell>
          <cell r="B606" t="str">
            <v>*S.Meals-Thorn Grov</v>
          </cell>
        </row>
        <row r="607">
          <cell r="A607">
            <v>10605</v>
          </cell>
          <cell r="B607" t="str">
            <v>*S.Meals-Tithe Barn</v>
          </cell>
        </row>
        <row r="608">
          <cell r="A608">
            <v>10606</v>
          </cell>
          <cell r="B608" t="str">
            <v>*S.Meals-Torkington</v>
          </cell>
        </row>
        <row r="609">
          <cell r="A609">
            <v>10607</v>
          </cell>
          <cell r="B609" t="str">
            <v>*S.Meals-Vernon Par</v>
          </cell>
        </row>
        <row r="610">
          <cell r="A610">
            <v>10608</v>
          </cell>
          <cell r="B610" t="str">
            <v>*S.Meals-Warren Woo</v>
          </cell>
        </row>
        <row r="611">
          <cell r="A611">
            <v>10609</v>
          </cell>
          <cell r="B611" t="str">
            <v>*S.Meals-Westmorlan</v>
          </cell>
        </row>
        <row r="612">
          <cell r="A612">
            <v>10610</v>
          </cell>
          <cell r="B612" t="str">
            <v>*S.Meals-Whitehill P</v>
          </cell>
        </row>
        <row r="613">
          <cell r="A613">
            <v>10611</v>
          </cell>
          <cell r="B613" t="str">
            <v>*S.Meals-Woodley Inf</v>
          </cell>
        </row>
        <row r="614">
          <cell r="A614">
            <v>10612</v>
          </cell>
          <cell r="B614" t="str">
            <v>*S.Meals-Woodley Jnr</v>
          </cell>
        </row>
        <row r="615">
          <cell r="A615">
            <v>10613</v>
          </cell>
          <cell r="B615" t="str">
            <v>*Ex. Clust -B.I.P St</v>
          </cell>
        </row>
        <row r="616">
          <cell r="A616">
            <v>10614</v>
          </cell>
          <cell r="B616" t="str">
            <v>*14-19 -Aim High -S5</v>
          </cell>
        </row>
        <row r="617">
          <cell r="A617">
            <v>10615</v>
          </cell>
          <cell r="B617" t="str">
            <v>*Ex.Clust -G &amp;T St 2</v>
          </cell>
        </row>
        <row r="618">
          <cell r="A618">
            <v>10616</v>
          </cell>
          <cell r="B618" t="str">
            <v>*Ex.Clust -L Pyramid</v>
          </cell>
        </row>
        <row r="619">
          <cell r="A619">
            <v>10617</v>
          </cell>
          <cell r="B619" t="str">
            <v>*Ex.Clust -L.Ment St</v>
          </cell>
        </row>
        <row r="620">
          <cell r="A620">
            <v>10618</v>
          </cell>
          <cell r="B620" t="str">
            <v>*Ex.Clust -Tailored</v>
          </cell>
        </row>
        <row r="621">
          <cell r="A621">
            <v>10619</v>
          </cell>
          <cell r="B621" t="str">
            <v>*Ex.Cluster -Study.S</v>
          </cell>
        </row>
        <row r="622">
          <cell r="A622">
            <v>10620</v>
          </cell>
          <cell r="B622" t="str">
            <v>*Ex.Cluster - Misc</v>
          </cell>
        </row>
        <row r="623">
          <cell r="A623">
            <v>10621</v>
          </cell>
          <cell r="B623" t="str">
            <v>*SF Retained alloc'n</v>
          </cell>
        </row>
        <row r="624">
          <cell r="A624">
            <v>10622</v>
          </cell>
          <cell r="B624" t="str">
            <v>*SF Delegated allocn</v>
          </cell>
        </row>
        <row r="625">
          <cell r="A625">
            <v>10623</v>
          </cell>
          <cell r="B625" t="str">
            <v>*SI - Contrib to St</v>
          </cell>
        </row>
        <row r="626">
          <cell r="A626">
            <v>10624</v>
          </cell>
          <cell r="B626" t="str">
            <v>*SF Miscellaneous</v>
          </cell>
        </row>
        <row r="627">
          <cell r="A627">
            <v>10625</v>
          </cell>
          <cell r="B627" t="str">
            <v>*Cyp-Admin-AE</v>
          </cell>
        </row>
        <row r="628">
          <cell r="A628">
            <v>10626</v>
          </cell>
          <cell r="B628" t="str">
            <v>*Cyp-Admin-Awards</v>
          </cell>
        </row>
        <row r="629">
          <cell r="A629">
            <v>10627</v>
          </cell>
          <cell r="B629" t="str">
            <v>*Cyp-Admin-Client Sv</v>
          </cell>
        </row>
        <row r="630">
          <cell r="A630">
            <v>10628</v>
          </cell>
          <cell r="B630" t="str">
            <v>*Cyp-Admin-Delegatio</v>
          </cell>
        </row>
        <row r="631">
          <cell r="A631">
            <v>10629</v>
          </cell>
          <cell r="B631" t="str">
            <v>*Cyp-Admin-Directora</v>
          </cell>
        </row>
        <row r="632">
          <cell r="A632">
            <v>10630</v>
          </cell>
          <cell r="B632" t="str">
            <v>*Cyp-Admin-Early Yea</v>
          </cell>
        </row>
        <row r="633">
          <cell r="A633">
            <v>10631</v>
          </cell>
          <cell r="B633" t="str">
            <v>*Cyp-Admin-Ed Financ</v>
          </cell>
        </row>
        <row r="634">
          <cell r="A634">
            <v>10632</v>
          </cell>
          <cell r="B634" t="str">
            <v>*Cyp-Admin-Ed Person</v>
          </cell>
        </row>
        <row r="635">
          <cell r="A635">
            <v>10633</v>
          </cell>
          <cell r="B635" t="str">
            <v>*SFYP Staffing - TL</v>
          </cell>
        </row>
        <row r="636">
          <cell r="A636">
            <v>10634</v>
          </cell>
          <cell r="B636" t="str">
            <v>*Cyp-Admin-Ed Welfar</v>
          </cell>
        </row>
        <row r="637">
          <cell r="A637">
            <v>10635</v>
          </cell>
          <cell r="B637" t="str">
            <v>*Cyp-Admin-Info &amp; St</v>
          </cell>
        </row>
        <row r="638">
          <cell r="A638">
            <v>10636</v>
          </cell>
          <cell r="B638" t="str">
            <v>*3rd Floor Consumabl</v>
          </cell>
        </row>
        <row r="639">
          <cell r="A639">
            <v>10637</v>
          </cell>
          <cell r="B639" t="str">
            <v>*IPT-CYP Schl Sup G</v>
          </cell>
        </row>
        <row r="640">
          <cell r="A640">
            <v>10638</v>
          </cell>
          <cell r="B640" t="str">
            <v>*Cyp Admin-General</v>
          </cell>
        </row>
        <row r="641">
          <cell r="A641">
            <v>10639</v>
          </cell>
          <cell r="B641" t="str">
            <v>*Cyp-Admin-Plan &amp; De</v>
          </cell>
        </row>
        <row r="642">
          <cell r="A642">
            <v>10640</v>
          </cell>
          <cell r="B642" t="str">
            <v>*Cyp-Admin-Psycholog</v>
          </cell>
        </row>
        <row r="643">
          <cell r="A643">
            <v>10641</v>
          </cell>
          <cell r="B643" t="str">
            <v>*Cyp-Admin-Pupil Svs</v>
          </cell>
        </row>
        <row r="644">
          <cell r="A644">
            <v>10642</v>
          </cell>
          <cell r="B644" t="str">
            <v>*Cyp-Admin-Research</v>
          </cell>
        </row>
        <row r="645">
          <cell r="A645">
            <v>10643</v>
          </cell>
          <cell r="B645" t="str">
            <v>*Cyp-Admin-Sch Manag</v>
          </cell>
        </row>
        <row r="646">
          <cell r="A646">
            <v>10644</v>
          </cell>
          <cell r="B646" t="str">
            <v>*Cyp-Admin-Sen</v>
          </cell>
        </row>
        <row r="647">
          <cell r="A647">
            <v>10645</v>
          </cell>
          <cell r="B647" t="str">
            <v>*Cyp-Admin-Sup Dev</v>
          </cell>
        </row>
        <row r="648">
          <cell r="A648">
            <v>10646</v>
          </cell>
          <cell r="B648" t="str">
            <v>*Cyp-Admin-Training</v>
          </cell>
        </row>
        <row r="649">
          <cell r="A649">
            <v>10647</v>
          </cell>
          <cell r="B649" t="str">
            <v>*Cyp-Admin-Transport</v>
          </cell>
        </row>
        <row r="650">
          <cell r="A650">
            <v>10648</v>
          </cell>
          <cell r="B650" t="str">
            <v>*Cyp-Admin-Youth Svc</v>
          </cell>
        </row>
        <row r="651">
          <cell r="A651">
            <v>10649</v>
          </cell>
          <cell r="B651" t="str">
            <v>*SI - School Venues</v>
          </cell>
        </row>
        <row r="652">
          <cell r="A652">
            <v>10650</v>
          </cell>
          <cell r="B652" t="str">
            <v>*ABG LA Children</v>
          </cell>
        </row>
        <row r="653">
          <cell r="A653">
            <v>10651</v>
          </cell>
          <cell r="B653" t="str">
            <v>*SF EY Free Entitlem</v>
          </cell>
        </row>
        <row r="654">
          <cell r="A654">
            <v>10652</v>
          </cell>
          <cell r="B654" t="str">
            <v>*SF City Challenge</v>
          </cell>
        </row>
        <row r="655">
          <cell r="A655">
            <v>10653</v>
          </cell>
          <cell r="B655" t="str">
            <v>*SDG ICT</v>
          </cell>
        </row>
        <row r="656">
          <cell r="A656">
            <v>10654</v>
          </cell>
          <cell r="B656" t="str">
            <v>*Basic Skills Agency</v>
          </cell>
        </row>
        <row r="657">
          <cell r="A657">
            <v>10655</v>
          </cell>
          <cell r="B657" t="str">
            <v>*Blf Pe &amp; Sport Reve</v>
          </cell>
        </row>
        <row r="658">
          <cell r="A658">
            <v>10656</v>
          </cell>
          <cell r="B658" t="str">
            <v>*PPG : Early Years</v>
          </cell>
        </row>
        <row r="659">
          <cell r="A659">
            <v>10657</v>
          </cell>
          <cell r="B659" t="str">
            <v>*SI - Buyback</v>
          </cell>
        </row>
        <row r="660">
          <cell r="A660">
            <v>10658</v>
          </cell>
          <cell r="B660" t="str">
            <v>*SF -Health</v>
          </cell>
        </row>
        <row r="661">
          <cell r="A661">
            <v>10659</v>
          </cell>
          <cell r="B661" t="str">
            <v>*Children'S Fund Pro</v>
          </cell>
        </row>
        <row r="662">
          <cell r="A662">
            <v>10660</v>
          </cell>
          <cell r="B662" t="str">
            <v>*Competition Manager</v>
          </cell>
        </row>
        <row r="663">
          <cell r="A663">
            <v>10661</v>
          </cell>
          <cell r="B663" t="str">
            <v>*Conctr Ind. Project</v>
          </cell>
        </row>
        <row r="664">
          <cell r="A664">
            <v>10662</v>
          </cell>
          <cell r="B664" t="str">
            <v>*SI -Spec ProjHealth</v>
          </cell>
        </row>
        <row r="665">
          <cell r="A665">
            <v>10663</v>
          </cell>
          <cell r="B665" t="str">
            <v>*Creative Evaluation</v>
          </cell>
        </row>
        <row r="666">
          <cell r="A666">
            <v>10664</v>
          </cell>
          <cell r="B666" t="str">
            <v>*Creative Science</v>
          </cell>
        </row>
        <row r="667">
          <cell r="A667">
            <v>10665</v>
          </cell>
          <cell r="B667" t="str">
            <v>*S2S-Free Trav-right</v>
          </cell>
        </row>
        <row r="668">
          <cell r="A668">
            <v>10666</v>
          </cell>
          <cell r="B668" t="str">
            <v>*Curric Support F581</v>
          </cell>
        </row>
        <row r="669">
          <cell r="A669">
            <v>10667</v>
          </cell>
          <cell r="B669" t="str">
            <v>*Design &amp; Technology</v>
          </cell>
        </row>
        <row r="670">
          <cell r="A670">
            <v>10668</v>
          </cell>
          <cell r="B670" t="str">
            <v>*SI - HLTA</v>
          </cell>
        </row>
        <row r="671">
          <cell r="A671">
            <v>10669</v>
          </cell>
          <cell r="B671" t="str">
            <v>*SI - NCSL Successio</v>
          </cell>
        </row>
        <row r="672">
          <cell r="A672">
            <v>10670</v>
          </cell>
          <cell r="B672" t="str">
            <v>*Linnet Clough 1</v>
          </cell>
        </row>
        <row r="673">
          <cell r="A673">
            <v>10671</v>
          </cell>
          <cell r="B673" t="str">
            <v>*KS4 Engagement Prog</v>
          </cell>
        </row>
        <row r="674">
          <cell r="A674">
            <v>10672</v>
          </cell>
          <cell r="B674" t="str">
            <v>*14-19 - CSG/Diploma</v>
          </cell>
        </row>
        <row r="675">
          <cell r="A675">
            <v>10673</v>
          </cell>
          <cell r="B675" t="str">
            <v>*SFYP Buildings PA</v>
          </cell>
        </row>
        <row r="676">
          <cell r="A676">
            <v>10674</v>
          </cell>
          <cell r="B676" t="str">
            <v>*SFYP Positive Acts</v>
          </cell>
        </row>
        <row r="677">
          <cell r="A677">
            <v>10675</v>
          </cell>
          <cell r="B677" t="str">
            <v>*14-19 Training Pro</v>
          </cell>
        </row>
        <row r="678">
          <cell r="A678">
            <v>10676</v>
          </cell>
          <cell r="B678" t="str">
            <v>*SI - Work Force Ref</v>
          </cell>
        </row>
        <row r="679">
          <cell r="A679">
            <v>10677</v>
          </cell>
          <cell r="B679" t="str">
            <v>*LAA Grant</v>
          </cell>
        </row>
        <row r="680">
          <cell r="A680">
            <v>10678</v>
          </cell>
          <cell r="B680" t="str">
            <v>*Targeted Interventi</v>
          </cell>
        </row>
        <row r="681">
          <cell r="A681">
            <v>10679</v>
          </cell>
          <cell r="B681" t="str">
            <v>*Graduate Teacher 1</v>
          </cell>
        </row>
        <row r="682">
          <cell r="A682">
            <v>10680</v>
          </cell>
          <cell r="B682" t="str">
            <v>*SFYP Commissioning</v>
          </cell>
        </row>
        <row r="683">
          <cell r="A683">
            <v>10681</v>
          </cell>
          <cell r="B683" t="str">
            <v>*Graduate Teacher 2</v>
          </cell>
        </row>
        <row r="684">
          <cell r="A684">
            <v>10682</v>
          </cell>
          <cell r="B684" t="str">
            <v>*Health</v>
          </cell>
        </row>
        <row r="685">
          <cell r="A685">
            <v>10683</v>
          </cell>
          <cell r="B685" t="str">
            <v>*14-19 -Diploma 14-1</v>
          </cell>
        </row>
        <row r="686">
          <cell r="A686">
            <v>10684</v>
          </cell>
          <cell r="B686" t="str">
            <v>*High Level Teach As</v>
          </cell>
        </row>
        <row r="687">
          <cell r="A687">
            <v>10685</v>
          </cell>
          <cell r="B687" t="str">
            <v>*I.T. Budget</v>
          </cell>
        </row>
        <row r="688">
          <cell r="A688">
            <v>10686</v>
          </cell>
          <cell r="B688" t="str">
            <v>*Raising Standards</v>
          </cell>
        </row>
        <row r="689">
          <cell r="A689">
            <v>10687</v>
          </cell>
          <cell r="B689" t="str">
            <v>*Information Tech</v>
          </cell>
        </row>
        <row r="690">
          <cell r="A690">
            <v>10688</v>
          </cell>
          <cell r="B690" t="str">
            <v>*SF:Schools DFC (rev</v>
          </cell>
        </row>
        <row r="691">
          <cell r="A691">
            <v>10689</v>
          </cell>
          <cell r="B691" t="str">
            <v>*Internet</v>
          </cell>
        </row>
        <row r="692">
          <cell r="A692">
            <v>10690</v>
          </cell>
          <cell r="B692" t="str">
            <v>*Ks2 Sats Analysis D</v>
          </cell>
        </row>
        <row r="693">
          <cell r="A693">
            <v>10691</v>
          </cell>
          <cell r="B693" t="str">
            <v>Sch Age Plus Family</v>
          </cell>
        </row>
        <row r="694">
          <cell r="A694">
            <v>10692</v>
          </cell>
          <cell r="B694" t="str">
            <v>Incl - Sch Link Prog</v>
          </cell>
        </row>
        <row r="695">
          <cell r="A695">
            <v>10693</v>
          </cell>
          <cell r="B695" t="str">
            <v>*SI - Management Dev</v>
          </cell>
        </row>
        <row r="696">
          <cell r="A696">
            <v>10694</v>
          </cell>
          <cell r="B696" t="str">
            <v>*SI - Nat Healthy S</v>
          </cell>
        </row>
        <row r="697">
          <cell r="A697">
            <v>10695</v>
          </cell>
          <cell r="B697" t="str">
            <v>*TDA Workforce Dev</v>
          </cell>
        </row>
        <row r="698">
          <cell r="A698">
            <v>10696</v>
          </cell>
          <cell r="B698" t="str">
            <v>*SFYP Buildings AO</v>
          </cell>
        </row>
        <row r="699">
          <cell r="A699">
            <v>10697</v>
          </cell>
          <cell r="B699" t="str">
            <v>*BLF Sports Phase 7</v>
          </cell>
        </row>
        <row r="700">
          <cell r="A700">
            <v>10698</v>
          </cell>
          <cell r="B700" t="str">
            <v>SI - Gateway Protect</v>
          </cell>
        </row>
        <row r="701">
          <cell r="A701">
            <v>10699</v>
          </cell>
          <cell r="B701" t="str">
            <v>*SFYP Support</v>
          </cell>
        </row>
        <row r="702">
          <cell r="A702">
            <v>10700</v>
          </cell>
          <cell r="B702" t="str">
            <v>*SI - Racist Inciden</v>
          </cell>
        </row>
        <row r="703">
          <cell r="A703">
            <v>10701</v>
          </cell>
          <cell r="B703" t="str">
            <v>*14-19 ESF-NEET Pro</v>
          </cell>
        </row>
        <row r="704">
          <cell r="A704">
            <v>10702</v>
          </cell>
          <cell r="B704" t="str">
            <v>14-19 Apprentices</v>
          </cell>
        </row>
        <row r="705">
          <cell r="A705">
            <v>10703</v>
          </cell>
          <cell r="B705" t="str">
            <v>*SFPS Modern Foreign</v>
          </cell>
        </row>
        <row r="706">
          <cell r="A706">
            <v>10704</v>
          </cell>
          <cell r="B706" t="str">
            <v>*PS Lead TeacherPLLA</v>
          </cell>
        </row>
        <row r="707">
          <cell r="A707">
            <v>10705</v>
          </cell>
          <cell r="B707" t="str">
            <v>*Primary Schools Nof</v>
          </cell>
        </row>
        <row r="708">
          <cell r="A708">
            <v>10706</v>
          </cell>
          <cell r="B708" t="str">
            <v>*SI - Pshe CPd Prog</v>
          </cell>
        </row>
        <row r="709">
          <cell r="A709">
            <v>10707</v>
          </cell>
          <cell r="B709" t="str">
            <v>*SF-ES Sustainabilit</v>
          </cell>
        </row>
        <row r="710">
          <cell r="A710">
            <v>10708</v>
          </cell>
          <cell r="B710" t="str">
            <v>SEN Trans-T Training</v>
          </cell>
        </row>
        <row r="711">
          <cell r="A711">
            <v>10709</v>
          </cell>
          <cell r="B711" t="str">
            <v>SS-Sch Sport Co-Ord</v>
          </cell>
        </row>
        <row r="712">
          <cell r="A712">
            <v>10710</v>
          </cell>
          <cell r="B712" t="str">
            <v>*Scia Conference</v>
          </cell>
        </row>
        <row r="713">
          <cell r="A713">
            <v>10711</v>
          </cell>
          <cell r="B713" t="str">
            <v>*Science</v>
          </cell>
        </row>
        <row r="714">
          <cell r="A714">
            <v>10712</v>
          </cell>
          <cell r="B714" t="str">
            <v>YP Ed, Careers and A</v>
          </cell>
        </row>
        <row r="715">
          <cell r="A715">
            <v>10713</v>
          </cell>
          <cell r="B715" t="str">
            <v>*Sims Trading Accoun</v>
          </cell>
        </row>
        <row r="716">
          <cell r="A716">
            <v>10714</v>
          </cell>
          <cell r="B716" t="str">
            <v>*SFYP Staffing - YPW</v>
          </cell>
        </row>
        <row r="717">
          <cell r="A717">
            <v>10715</v>
          </cell>
          <cell r="B717" t="str">
            <v>*S2S-Top Swim Progra</v>
          </cell>
        </row>
        <row r="718">
          <cell r="A718">
            <v>10716</v>
          </cell>
          <cell r="B718" t="str">
            <v>SS-SSCO Partnership</v>
          </cell>
        </row>
        <row r="719">
          <cell r="A719">
            <v>10717</v>
          </cell>
          <cell r="B719" t="str">
            <v>*SI -Stockport Count</v>
          </cell>
        </row>
        <row r="720">
          <cell r="A720">
            <v>10718</v>
          </cell>
          <cell r="B720" t="str">
            <v>SS-EIG/All2tog. Act</v>
          </cell>
        </row>
        <row r="721">
          <cell r="A721">
            <v>10719</v>
          </cell>
          <cell r="B721" t="str">
            <v>*Linnet Clough 2</v>
          </cell>
        </row>
        <row r="722">
          <cell r="A722">
            <v>10720</v>
          </cell>
          <cell r="B722" t="str">
            <v>*Work-Related Learni</v>
          </cell>
        </row>
        <row r="723">
          <cell r="A723">
            <v>10721</v>
          </cell>
          <cell r="B723" t="str">
            <v>RVTC GMC</v>
          </cell>
        </row>
        <row r="724">
          <cell r="A724">
            <v>10722</v>
          </cell>
          <cell r="B724" t="str">
            <v>*Fsf-Nqt</v>
          </cell>
        </row>
        <row r="725">
          <cell r="A725">
            <v>10723</v>
          </cell>
          <cell r="B725" t="str">
            <v>SI - Sch Imp Assess</v>
          </cell>
        </row>
        <row r="726">
          <cell r="A726">
            <v>10724</v>
          </cell>
          <cell r="B726" t="str">
            <v>*Fsf-Social Inclusio</v>
          </cell>
        </row>
        <row r="727">
          <cell r="A727">
            <v>10725</v>
          </cell>
          <cell r="B727" t="str">
            <v>*Sports &amp; Rec Advise</v>
          </cell>
        </row>
        <row r="728">
          <cell r="A728">
            <v>10726</v>
          </cell>
          <cell r="B728" t="str">
            <v>H.O.S L &amp; E</v>
          </cell>
        </row>
        <row r="729">
          <cell r="A729">
            <v>10727</v>
          </cell>
          <cell r="B729" t="str">
            <v>SI - Advisers</v>
          </cell>
        </row>
        <row r="730">
          <cell r="A730">
            <v>10728</v>
          </cell>
          <cell r="B730" t="str">
            <v>SEN Post 19 LDD</v>
          </cell>
        </row>
        <row r="731">
          <cell r="A731">
            <v>10729</v>
          </cell>
          <cell r="B731" t="str">
            <v>*SFYP Awards</v>
          </cell>
        </row>
        <row r="732">
          <cell r="A732">
            <v>10730</v>
          </cell>
          <cell r="B732" t="str">
            <v>*E-Spi</v>
          </cell>
        </row>
        <row r="733">
          <cell r="A733">
            <v>10731</v>
          </cell>
          <cell r="B733" t="str">
            <v>*Building Cleaning</v>
          </cell>
        </row>
        <row r="734">
          <cell r="A734">
            <v>10732</v>
          </cell>
          <cell r="B734" t="str">
            <v>*DP - ASD Partnershi</v>
          </cell>
        </row>
        <row r="735">
          <cell r="A735">
            <v>10733</v>
          </cell>
          <cell r="B735" t="str">
            <v>SS-Client Services</v>
          </cell>
        </row>
        <row r="736">
          <cell r="A736">
            <v>10734</v>
          </cell>
          <cell r="B736" t="str">
            <v>Condition Surveys</v>
          </cell>
        </row>
        <row r="737">
          <cell r="A737">
            <v>10735</v>
          </cell>
          <cell r="B737" t="str">
            <v>SS-CRB Checks</v>
          </cell>
        </row>
        <row r="738">
          <cell r="A738">
            <v>10736</v>
          </cell>
          <cell r="B738" t="str">
            <v>*IPT-Delegat Co-Ord</v>
          </cell>
        </row>
        <row r="739">
          <cell r="A739">
            <v>10737</v>
          </cell>
          <cell r="B739" t="str">
            <v>Dir-Directorate</v>
          </cell>
        </row>
        <row r="740">
          <cell r="A740">
            <v>10738</v>
          </cell>
          <cell r="B740" t="str">
            <v>*IPS Early Years</v>
          </cell>
        </row>
        <row r="741">
          <cell r="A741">
            <v>10739</v>
          </cell>
          <cell r="B741" t="str">
            <v>*Education E-Service</v>
          </cell>
        </row>
        <row r="742">
          <cell r="A742">
            <v>10740</v>
          </cell>
          <cell r="B742" t="str">
            <v>*Education Finance</v>
          </cell>
        </row>
        <row r="743">
          <cell r="A743">
            <v>10741</v>
          </cell>
          <cell r="B743" t="str">
            <v>*Education Personnel</v>
          </cell>
        </row>
        <row r="744">
          <cell r="A744">
            <v>10742</v>
          </cell>
          <cell r="B744" t="str">
            <v>*SFYP EWS Dev Fun</v>
          </cell>
        </row>
        <row r="745">
          <cell r="A745">
            <v>10743</v>
          </cell>
          <cell r="B745" t="str">
            <v>*Foreign Lang Ass</v>
          </cell>
        </row>
        <row r="746">
          <cell r="A746">
            <v>10744</v>
          </cell>
          <cell r="B746" t="str">
            <v>Education Access</v>
          </cell>
        </row>
        <row r="747">
          <cell r="A747">
            <v>10745</v>
          </cell>
          <cell r="B747" t="str">
            <v>*IPT-Info &amp; Stats</v>
          </cell>
        </row>
        <row r="748">
          <cell r="A748">
            <v>10746</v>
          </cell>
          <cell r="B748" t="str">
            <v>*Microsoft Buyback</v>
          </cell>
        </row>
        <row r="749">
          <cell r="A749">
            <v>10747</v>
          </cell>
          <cell r="B749" t="str">
            <v>Additional Grant Sch</v>
          </cell>
        </row>
        <row r="750">
          <cell r="A750">
            <v>10748</v>
          </cell>
          <cell r="B750" t="str">
            <v>*IPT-Office Services</v>
          </cell>
        </row>
        <row r="751">
          <cell r="A751">
            <v>10749</v>
          </cell>
          <cell r="B751" t="str">
            <v>*On-Line Adms Appeal</v>
          </cell>
        </row>
        <row r="752">
          <cell r="A752">
            <v>10750</v>
          </cell>
          <cell r="B752" t="str">
            <v>*Planning &amp; Developm</v>
          </cell>
        </row>
        <row r="753">
          <cell r="A753">
            <v>10751</v>
          </cell>
          <cell r="B753" t="str">
            <v>SEN Incl - Psycholog</v>
          </cell>
        </row>
        <row r="754">
          <cell r="A754">
            <v>10752</v>
          </cell>
          <cell r="B754" t="str">
            <v>HT, Legal &amp; Mgmt</v>
          </cell>
        </row>
        <row r="755">
          <cell r="A755">
            <v>10753</v>
          </cell>
          <cell r="B755" t="str">
            <v>*IPT-Data &amp; Mgt syst</v>
          </cell>
        </row>
        <row r="756">
          <cell r="A756">
            <v>10754</v>
          </cell>
          <cell r="B756" t="str">
            <v>*SI -School Imp Admi</v>
          </cell>
        </row>
        <row r="757">
          <cell r="A757">
            <v>10755</v>
          </cell>
          <cell r="B757" t="str">
            <v>SI - School Govern</v>
          </cell>
        </row>
        <row r="758">
          <cell r="A758">
            <v>10756</v>
          </cell>
          <cell r="B758" t="str">
            <v>Schools Forum</v>
          </cell>
        </row>
        <row r="759">
          <cell r="A759">
            <v>10757</v>
          </cell>
          <cell r="B759" t="str">
            <v>*Schools Org Cmmttee</v>
          </cell>
        </row>
        <row r="760">
          <cell r="A760">
            <v>10758</v>
          </cell>
          <cell r="B760" t="str">
            <v>SS-SCOFE - Pensions</v>
          </cell>
        </row>
        <row r="761">
          <cell r="A761">
            <v>10759</v>
          </cell>
          <cell r="B761" t="str">
            <v>SEN Trans-Staffing</v>
          </cell>
        </row>
        <row r="762">
          <cell r="A762">
            <v>10760</v>
          </cell>
          <cell r="B762" t="str">
            <v>*Support Development</v>
          </cell>
        </row>
        <row r="763">
          <cell r="A763">
            <v>10761</v>
          </cell>
          <cell r="B763" t="str">
            <v>*Surplus Properties</v>
          </cell>
        </row>
        <row r="764">
          <cell r="A764">
            <v>10762</v>
          </cell>
          <cell r="B764" t="str">
            <v>*WD-Training</v>
          </cell>
        </row>
        <row r="765">
          <cell r="A765">
            <v>10763</v>
          </cell>
          <cell r="B765" t="str">
            <v>*Training Lea</v>
          </cell>
        </row>
        <row r="766">
          <cell r="A766">
            <v>10764</v>
          </cell>
          <cell r="B766" t="str">
            <v>SEN Trans-Travel Co-</v>
          </cell>
        </row>
        <row r="767">
          <cell r="A767">
            <v>10765</v>
          </cell>
          <cell r="B767" t="str">
            <v>*SFYP Town Ctr AO B</v>
          </cell>
        </row>
        <row r="768">
          <cell r="A768">
            <v>10766</v>
          </cell>
          <cell r="B768" t="str">
            <v>*SFYP Town Ctr AO</v>
          </cell>
        </row>
        <row r="769">
          <cell r="A769">
            <v>10767</v>
          </cell>
          <cell r="B769" t="str">
            <v>*FYP CX Activity Agr</v>
          </cell>
        </row>
        <row r="770">
          <cell r="A770">
            <v>10768</v>
          </cell>
          <cell r="B770" t="str">
            <v>*SFYP-Connex Youth</v>
          </cell>
        </row>
        <row r="771">
          <cell r="A771">
            <v>10769</v>
          </cell>
          <cell r="B771" t="str">
            <v>*SFYP-Adswood Build</v>
          </cell>
        </row>
        <row r="772">
          <cell r="A772">
            <v>10770</v>
          </cell>
          <cell r="B772" t="str">
            <v>*SFYP-Adswood Local</v>
          </cell>
        </row>
        <row r="773">
          <cell r="A773">
            <v>10771</v>
          </cell>
          <cell r="B773" t="str">
            <v>*SFYP-Adswood NHR</v>
          </cell>
        </row>
        <row r="774">
          <cell r="A774">
            <v>10772</v>
          </cell>
          <cell r="B774" t="str">
            <v>*SFYP-Creative Arts</v>
          </cell>
        </row>
        <row r="775">
          <cell r="A775">
            <v>10773</v>
          </cell>
          <cell r="B775" t="str">
            <v>*SFYP- 6th Day Prov</v>
          </cell>
        </row>
        <row r="776">
          <cell r="A776">
            <v>10774</v>
          </cell>
          <cell r="B776" t="str">
            <v>*SFYP-Curriculum Dev</v>
          </cell>
        </row>
        <row r="777">
          <cell r="A777">
            <v>10775</v>
          </cell>
          <cell r="B777" t="str">
            <v>*SFYPYouth-Boys&amp;Youn</v>
          </cell>
        </row>
        <row r="778">
          <cell r="A778">
            <v>10776</v>
          </cell>
          <cell r="B778" t="str">
            <v>*SFYP-Werneth Build</v>
          </cell>
        </row>
        <row r="779">
          <cell r="A779">
            <v>10777</v>
          </cell>
          <cell r="B779" t="str">
            <v>*SFYP-Brinington NHR</v>
          </cell>
        </row>
        <row r="780">
          <cell r="A780">
            <v>10778</v>
          </cell>
          <cell r="B780" t="str">
            <v>*SFYP-Brinnington Lo</v>
          </cell>
        </row>
        <row r="781">
          <cell r="A781">
            <v>10779</v>
          </cell>
          <cell r="B781" t="str">
            <v>*SFYP Brinnington B</v>
          </cell>
        </row>
        <row r="782">
          <cell r="A782">
            <v>10780</v>
          </cell>
          <cell r="B782" t="str">
            <v>*SFYP Cellars Buildi</v>
          </cell>
        </row>
        <row r="783">
          <cell r="A783">
            <v>10781</v>
          </cell>
          <cell r="B783" t="str">
            <v>*SFYP-Central Youth</v>
          </cell>
        </row>
        <row r="784">
          <cell r="A784">
            <v>10782</v>
          </cell>
          <cell r="B784" t="str">
            <v>*SFYP-Connexions</v>
          </cell>
        </row>
        <row r="785">
          <cell r="A785">
            <v>10783</v>
          </cell>
          <cell r="B785" t="str">
            <v>*SFYP-Children'S Fnd</v>
          </cell>
        </row>
        <row r="786">
          <cell r="A786">
            <v>10784</v>
          </cell>
          <cell r="B786" t="str">
            <v>*SFYP Youth-CommCoh</v>
          </cell>
        </row>
        <row r="787">
          <cell r="A787">
            <v>10785</v>
          </cell>
          <cell r="B787" t="str">
            <v>SFYP Blockbuster</v>
          </cell>
        </row>
        <row r="788">
          <cell r="A788">
            <v>10786</v>
          </cell>
          <cell r="B788" t="str">
            <v>*SFYP-Participation</v>
          </cell>
        </row>
        <row r="789">
          <cell r="A789">
            <v>10787</v>
          </cell>
          <cell r="B789" t="str">
            <v>*SFYP Youth-Crime&amp;D</v>
          </cell>
        </row>
        <row r="790">
          <cell r="A790">
            <v>10788</v>
          </cell>
          <cell r="B790" t="str">
            <v>*SFYP-BME</v>
          </cell>
        </row>
        <row r="791">
          <cell r="A791">
            <v>10789</v>
          </cell>
          <cell r="B791" t="str">
            <v>*Innovations Fund</v>
          </cell>
        </row>
        <row r="792">
          <cell r="A792">
            <v>10790</v>
          </cell>
          <cell r="B792" t="str">
            <v>*SFYP Dialstone B</v>
          </cell>
        </row>
        <row r="793">
          <cell r="A793">
            <v>10791</v>
          </cell>
          <cell r="B793" t="str">
            <v>*SFYP-Disability Grt</v>
          </cell>
        </row>
        <row r="794">
          <cell r="A794">
            <v>10792</v>
          </cell>
          <cell r="B794" t="str">
            <v>*SFYP-Disability Pro</v>
          </cell>
        </row>
        <row r="795">
          <cell r="A795">
            <v>10793</v>
          </cell>
          <cell r="B795" t="str">
            <v>*SFYP-Disability Stf</v>
          </cell>
        </row>
        <row r="796">
          <cell r="A796">
            <v>10794</v>
          </cell>
          <cell r="B796" t="str">
            <v>*SFYP-Duke Edinbrgh</v>
          </cell>
        </row>
        <row r="797">
          <cell r="A797">
            <v>10795</v>
          </cell>
          <cell r="B797" t="str">
            <v>*SFYP- Development O</v>
          </cell>
        </row>
        <row r="798">
          <cell r="A798">
            <v>10796</v>
          </cell>
          <cell r="B798" t="str">
            <v>*SFYPYouth-Edgeley D</v>
          </cell>
        </row>
        <row r="799">
          <cell r="A799">
            <v>10797</v>
          </cell>
          <cell r="B799" t="str">
            <v>*SFYP-Youth Service</v>
          </cell>
        </row>
        <row r="800">
          <cell r="A800">
            <v>10798</v>
          </cell>
          <cell r="B800" t="str">
            <v>*SFYP-Grant Aid</v>
          </cell>
        </row>
        <row r="801">
          <cell r="A801">
            <v>10799</v>
          </cell>
          <cell r="B801" t="str">
            <v>*SFYP-Hazel Grove Lo</v>
          </cell>
        </row>
        <row r="802">
          <cell r="A802">
            <v>10800</v>
          </cell>
          <cell r="B802" t="str">
            <v>*SFYP Hazel Grove B</v>
          </cell>
        </row>
        <row r="803">
          <cell r="A803">
            <v>10801</v>
          </cell>
          <cell r="B803" t="str">
            <v>*SFYP Health Dev</v>
          </cell>
        </row>
        <row r="804">
          <cell r="A804">
            <v>10802</v>
          </cell>
          <cell r="B804" t="str">
            <v>*SFYP Youth-Health E</v>
          </cell>
        </row>
        <row r="805">
          <cell r="A805">
            <v>10803</v>
          </cell>
          <cell r="B805" t="str">
            <v>*SFYP-Heaton Moor Lo</v>
          </cell>
        </row>
        <row r="806">
          <cell r="A806">
            <v>10804</v>
          </cell>
          <cell r="B806" t="str">
            <v>*SFYP-Training</v>
          </cell>
        </row>
        <row r="807">
          <cell r="A807">
            <v>10805</v>
          </cell>
          <cell r="B807" t="str">
            <v>*SFYP-C&amp;S Innovation</v>
          </cell>
        </row>
        <row r="808">
          <cell r="A808">
            <v>10806</v>
          </cell>
          <cell r="B808" t="str">
            <v>*SFYP-MWHB Innovatin</v>
          </cell>
        </row>
        <row r="809">
          <cell r="A809">
            <v>10807</v>
          </cell>
          <cell r="B809" t="str">
            <v>*SFYP- Change Progrm</v>
          </cell>
        </row>
        <row r="810">
          <cell r="A810">
            <v>10808</v>
          </cell>
          <cell r="B810" t="str">
            <v>*SFYP-CX &amp; Town Inno</v>
          </cell>
        </row>
        <row r="811">
          <cell r="A811">
            <v>10809</v>
          </cell>
          <cell r="B811" t="str">
            <v>*SFYP-Marple Localit</v>
          </cell>
        </row>
        <row r="812">
          <cell r="A812">
            <v>10810</v>
          </cell>
          <cell r="B812" t="str">
            <v>*SFYP-MarpleRidge B</v>
          </cell>
        </row>
        <row r="813">
          <cell r="A813">
            <v>10811</v>
          </cell>
          <cell r="B813" t="str">
            <v>*SFYP Minibuses</v>
          </cell>
        </row>
        <row r="814">
          <cell r="A814">
            <v>10812</v>
          </cell>
          <cell r="B814" t="str">
            <v>*SFYP-C Workforce Dv</v>
          </cell>
        </row>
        <row r="815">
          <cell r="A815">
            <v>10813</v>
          </cell>
          <cell r="B815" t="str">
            <v>*SFYP-Multimedia Stf</v>
          </cell>
        </row>
        <row r="816">
          <cell r="A816">
            <v>10814</v>
          </cell>
          <cell r="B816" t="str">
            <v>*SFYP-Multimedia Ads</v>
          </cell>
        </row>
        <row r="817">
          <cell r="A817">
            <v>10815</v>
          </cell>
          <cell r="B817" t="str">
            <v>*SFYP-Multimedia Equ</v>
          </cell>
        </row>
        <row r="818">
          <cell r="A818">
            <v>10816</v>
          </cell>
          <cell r="B818" t="str">
            <v>*SFYP-Multimedia Opt</v>
          </cell>
        </row>
        <row r="819">
          <cell r="A819">
            <v>10817</v>
          </cell>
          <cell r="B819" t="str">
            <v>*SFYP Youth- Ops</v>
          </cell>
        </row>
        <row r="820">
          <cell r="A820">
            <v>10818</v>
          </cell>
          <cell r="B820" t="str">
            <v>*SFYP-Offerton Local</v>
          </cell>
        </row>
        <row r="821">
          <cell r="A821">
            <v>10819</v>
          </cell>
          <cell r="B821" t="str">
            <v>*SFYP-Outdoor Ed</v>
          </cell>
        </row>
        <row r="822">
          <cell r="A822">
            <v>10820</v>
          </cell>
          <cell r="B822" t="str">
            <v>*SFYP-Outdoor Equipm</v>
          </cell>
        </row>
        <row r="823">
          <cell r="A823">
            <v>10821</v>
          </cell>
          <cell r="B823" t="str">
            <v>*SFYP-Payp Adswood</v>
          </cell>
        </row>
        <row r="824">
          <cell r="A824">
            <v>10822</v>
          </cell>
          <cell r="B824" t="str">
            <v>*SFYP-Payp Brinningt</v>
          </cell>
        </row>
        <row r="825">
          <cell r="A825">
            <v>10823</v>
          </cell>
          <cell r="B825" t="str">
            <v>*SFYP PAYP Activitie</v>
          </cell>
        </row>
        <row r="826">
          <cell r="A826">
            <v>10824</v>
          </cell>
          <cell r="B826" t="str">
            <v>*SFYP-Payp Offerton</v>
          </cell>
        </row>
        <row r="827">
          <cell r="A827">
            <v>10825</v>
          </cell>
          <cell r="B827" t="str">
            <v>*SFYP-Payp Reddish</v>
          </cell>
        </row>
        <row r="828">
          <cell r="A828">
            <v>10826</v>
          </cell>
          <cell r="B828" t="str">
            <v>*SFYP-RBH Locality A</v>
          </cell>
        </row>
        <row r="829">
          <cell r="A829">
            <v>10827</v>
          </cell>
          <cell r="B829" t="str">
            <v>*SFYP Reddish Vale Y</v>
          </cell>
        </row>
        <row r="830">
          <cell r="A830">
            <v>10828</v>
          </cell>
          <cell r="B830" t="str">
            <v>*SFYP Reddish AO Bl</v>
          </cell>
        </row>
        <row r="831">
          <cell r="A831">
            <v>10829</v>
          </cell>
          <cell r="B831" t="str">
            <v>*SFYP Covent Garden</v>
          </cell>
        </row>
        <row r="832">
          <cell r="A832">
            <v>10830</v>
          </cell>
          <cell r="B832" t="str">
            <v>*SFYP-Sound Minds</v>
          </cell>
        </row>
        <row r="833">
          <cell r="A833">
            <v>10831</v>
          </cell>
          <cell r="B833" t="str">
            <v>*SFYP-YOF Training</v>
          </cell>
        </row>
        <row r="834">
          <cell r="A834">
            <v>10832</v>
          </cell>
          <cell r="B834" t="str">
            <v>*SFYP-The Base</v>
          </cell>
        </row>
        <row r="835">
          <cell r="A835">
            <v>10833</v>
          </cell>
          <cell r="B835" t="str">
            <v>*SFYP Central Yth Bl</v>
          </cell>
        </row>
        <row r="836">
          <cell r="A836">
            <v>10834</v>
          </cell>
          <cell r="B836" t="str">
            <v>*SFYP Town Hall Off</v>
          </cell>
        </row>
        <row r="837">
          <cell r="A837">
            <v>10835</v>
          </cell>
          <cell r="B837" t="str">
            <v>*Central Locality Ac</v>
          </cell>
        </row>
        <row r="838">
          <cell r="A838">
            <v>10836</v>
          </cell>
          <cell r="B838" t="str">
            <v>*SFYP-MWHB Localit</v>
          </cell>
        </row>
        <row r="839">
          <cell r="A839">
            <v>10837</v>
          </cell>
          <cell r="B839" t="str">
            <v>*SFYP Pre Paid Cards</v>
          </cell>
        </row>
        <row r="840">
          <cell r="A840">
            <v>10838</v>
          </cell>
          <cell r="B840" t="str">
            <v>*SFYP-Places To Go</v>
          </cell>
        </row>
        <row r="841">
          <cell r="A841">
            <v>10839</v>
          </cell>
          <cell r="B841" t="str">
            <v>*SFYP Woodbank Bldg</v>
          </cell>
        </row>
        <row r="842">
          <cell r="A842">
            <v>10840</v>
          </cell>
          <cell r="B842" t="str">
            <v>*SFYP-Young Womens</v>
          </cell>
        </row>
        <row r="843">
          <cell r="A843">
            <v>10841</v>
          </cell>
          <cell r="B843" t="str">
            <v>*SFYP Voluntn Matter</v>
          </cell>
        </row>
        <row r="844">
          <cell r="A844">
            <v>10842</v>
          </cell>
          <cell r="B844" t="str">
            <v>*SFYP The Base Bldg</v>
          </cell>
        </row>
        <row r="845">
          <cell r="A845">
            <v>10843</v>
          </cell>
          <cell r="B845" t="str">
            <v>*SFYP-Youthful Minds</v>
          </cell>
        </row>
        <row r="846">
          <cell r="A846">
            <v>10844</v>
          </cell>
          <cell r="B846" t="str">
            <v>EHP CC Abacus</v>
          </cell>
        </row>
        <row r="847">
          <cell r="A847">
            <v>10845</v>
          </cell>
          <cell r="B847" t="str">
            <v>*</v>
          </cell>
        </row>
        <row r="848">
          <cell r="A848">
            <v>10846</v>
          </cell>
          <cell r="B848" t="str">
            <v>*PE-Bakery Bridge</v>
          </cell>
        </row>
        <row r="849">
          <cell r="A849">
            <v>10847</v>
          </cell>
          <cell r="B849" t="str">
            <v>SEN Trans - Swimming</v>
          </cell>
        </row>
        <row r="850">
          <cell r="A850">
            <v>10848</v>
          </cell>
          <cell r="B850" t="str">
            <v>Pupil Premium</v>
          </cell>
        </row>
        <row r="851">
          <cell r="A851">
            <v>10849</v>
          </cell>
          <cell r="B851" t="str">
            <v>*PE-Heathfield Pf</v>
          </cell>
        </row>
        <row r="852">
          <cell r="A852">
            <v>10850</v>
          </cell>
          <cell r="B852" t="str">
            <v>*PE-Hillcrest Road</v>
          </cell>
        </row>
        <row r="853">
          <cell r="A853">
            <v>10851</v>
          </cell>
          <cell r="B853" t="str">
            <v>Mellor Academy</v>
          </cell>
        </row>
        <row r="854">
          <cell r="A854">
            <v>10852</v>
          </cell>
          <cell r="B854" t="str">
            <v>P.E-Maint Play Field</v>
          </cell>
        </row>
        <row r="855">
          <cell r="A855">
            <v>10853</v>
          </cell>
          <cell r="B855" t="str">
            <v>*PE-Warth Meadow</v>
          </cell>
        </row>
        <row r="856">
          <cell r="A856">
            <v>10854</v>
          </cell>
          <cell r="B856" t="str">
            <v>Schools Control Code</v>
          </cell>
        </row>
        <row r="857">
          <cell r="A857">
            <v>10855</v>
          </cell>
          <cell r="B857" t="str">
            <v>Prc - Lump Sums</v>
          </cell>
        </row>
        <row r="858">
          <cell r="A858">
            <v>10856</v>
          </cell>
          <cell r="B858" t="str">
            <v>Pymnt to contctr R+R</v>
          </cell>
        </row>
        <row r="859">
          <cell r="A859">
            <v>10857</v>
          </cell>
          <cell r="B859" t="str">
            <v>*Recycle More 4 Stoc</v>
          </cell>
        </row>
        <row r="860">
          <cell r="A860">
            <v>10858</v>
          </cell>
          <cell r="B860" t="str">
            <v>Schools Rental</v>
          </cell>
        </row>
        <row r="861">
          <cell r="A861">
            <v>10859</v>
          </cell>
          <cell r="B861" t="str">
            <v>Household Rental</v>
          </cell>
        </row>
        <row r="862">
          <cell r="A862">
            <v>10860</v>
          </cell>
          <cell r="B862" t="str">
            <v>*Recycling Rental</v>
          </cell>
        </row>
        <row r="863">
          <cell r="A863">
            <v>10861</v>
          </cell>
          <cell r="B863" t="str">
            <v>Green Wheelie Bins</v>
          </cell>
        </row>
        <row r="864">
          <cell r="A864">
            <v>10862</v>
          </cell>
          <cell r="B864" t="str">
            <v>Blue Wheelie Bins</v>
          </cell>
        </row>
        <row r="865">
          <cell r="A865">
            <v>10863</v>
          </cell>
          <cell r="B865" t="str">
            <v>Brown Wheelie Bins</v>
          </cell>
        </row>
        <row r="866">
          <cell r="A866">
            <v>10864</v>
          </cell>
          <cell r="B866" t="str">
            <v>Wheelie Bins</v>
          </cell>
        </row>
        <row r="867">
          <cell r="A867">
            <v>10865</v>
          </cell>
          <cell r="B867" t="str">
            <v>Food ContrsHouse Bag</v>
          </cell>
        </row>
        <row r="868">
          <cell r="A868">
            <v>10866</v>
          </cell>
          <cell r="B868" t="str">
            <v>*Bredbury Depot</v>
          </cell>
        </row>
        <row r="869">
          <cell r="A869">
            <v>10867</v>
          </cell>
          <cell r="B869" t="str">
            <v>*Kerbside Boxes/Bags</v>
          </cell>
        </row>
        <row r="870">
          <cell r="A870">
            <v>10868</v>
          </cell>
          <cell r="B870" t="str">
            <v>House sacks box bags</v>
          </cell>
        </row>
        <row r="871">
          <cell r="A871">
            <v>10869</v>
          </cell>
          <cell r="B871" t="str">
            <v>*</v>
          </cell>
        </row>
        <row r="872">
          <cell r="A872">
            <v>10870</v>
          </cell>
          <cell r="B872" t="str">
            <v>*</v>
          </cell>
        </row>
        <row r="873">
          <cell r="A873">
            <v>10871</v>
          </cell>
          <cell r="B873" t="str">
            <v>*</v>
          </cell>
        </row>
        <row r="874">
          <cell r="A874">
            <v>10872</v>
          </cell>
          <cell r="B874" t="str">
            <v>*</v>
          </cell>
        </row>
        <row r="875">
          <cell r="A875">
            <v>10873</v>
          </cell>
          <cell r="B875" t="str">
            <v>*</v>
          </cell>
        </row>
        <row r="876">
          <cell r="A876">
            <v>10874</v>
          </cell>
          <cell r="B876" t="str">
            <v>*</v>
          </cell>
        </row>
        <row r="877">
          <cell r="A877">
            <v>10875</v>
          </cell>
          <cell r="B877" t="str">
            <v>*</v>
          </cell>
        </row>
        <row r="878">
          <cell r="A878">
            <v>10876</v>
          </cell>
          <cell r="B878" t="str">
            <v>Merseyway Cleaning</v>
          </cell>
        </row>
        <row r="879">
          <cell r="A879">
            <v>10877</v>
          </cell>
          <cell r="B879" t="str">
            <v>Business Start Up</v>
          </cell>
        </row>
        <row r="880">
          <cell r="A880">
            <v>10878</v>
          </cell>
          <cell r="B880" t="str">
            <v>Refuse Disposal</v>
          </cell>
        </row>
        <row r="881">
          <cell r="A881">
            <v>10879</v>
          </cell>
          <cell r="B881" t="str">
            <v>Public Realm Inspect</v>
          </cell>
        </row>
        <row r="882">
          <cell r="A882">
            <v>10880</v>
          </cell>
          <cell r="B882" t="str">
            <v>*Enforcement</v>
          </cell>
        </row>
        <row r="883">
          <cell r="A883">
            <v>10881</v>
          </cell>
          <cell r="B883" t="str">
            <v>Contrct P-St Cleansg</v>
          </cell>
        </row>
        <row r="884">
          <cell r="A884">
            <v>10882</v>
          </cell>
          <cell r="B884" t="str">
            <v>Prudential Borrowing</v>
          </cell>
        </row>
        <row r="885">
          <cell r="A885">
            <v>10883</v>
          </cell>
          <cell r="B885" t="str">
            <v>Bulk Container</v>
          </cell>
        </row>
        <row r="886">
          <cell r="A886">
            <v>10884</v>
          </cell>
          <cell r="B886" t="str">
            <v>Environment Fair</v>
          </cell>
        </row>
        <row r="887">
          <cell r="A887">
            <v>10885</v>
          </cell>
          <cell r="B887" t="str">
            <v>Sustain Policy</v>
          </cell>
        </row>
        <row r="888">
          <cell r="A888">
            <v>10886</v>
          </cell>
          <cell r="B888" t="str">
            <v>PRG Carbon Red Prog</v>
          </cell>
        </row>
        <row r="889">
          <cell r="A889">
            <v>10887</v>
          </cell>
          <cell r="B889" t="str">
            <v>*</v>
          </cell>
        </row>
        <row r="890">
          <cell r="A890">
            <v>10888</v>
          </cell>
          <cell r="B890" t="str">
            <v>*</v>
          </cell>
        </row>
        <row r="891">
          <cell r="A891">
            <v>10889</v>
          </cell>
          <cell r="B891" t="str">
            <v>*</v>
          </cell>
        </row>
        <row r="892">
          <cell r="A892">
            <v>10890</v>
          </cell>
          <cell r="B892" t="str">
            <v>South M/cr RP</v>
          </cell>
        </row>
        <row r="893">
          <cell r="A893">
            <v>10891</v>
          </cell>
          <cell r="B893" t="str">
            <v>*</v>
          </cell>
        </row>
        <row r="894">
          <cell r="A894">
            <v>10892</v>
          </cell>
          <cell r="B894" t="str">
            <v>*</v>
          </cell>
        </row>
        <row r="895">
          <cell r="A895">
            <v>10893</v>
          </cell>
          <cell r="B895" t="str">
            <v>Pymnt to C-Public C</v>
          </cell>
        </row>
        <row r="896">
          <cell r="A896">
            <v>10894</v>
          </cell>
          <cell r="B896" t="str">
            <v>*U-Mortuary Faciliti</v>
          </cell>
        </row>
        <row r="897">
          <cell r="A897">
            <v>10895</v>
          </cell>
          <cell r="B897" t="str">
            <v>*Hygiene Action</v>
          </cell>
        </row>
        <row r="898">
          <cell r="A898">
            <v>10896</v>
          </cell>
          <cell r="B898" t="str">
            <v>Hygiene Action Clean</v>
          </cell>
        </row>
        <row r="899">
          <cell r="A899">
            <v>10897</v>
          </cell>
          <cell r="B899" t="str">
            <v>Pest Control</v>
          </cell>
        </row>
        <row r="900">
          <cell r="A900">
            <v>10898</v>
          </cell>
          <cell r="B900" t="str">
            <v>*Ha Psa Env Clean</v>
          </cell>
        </row>
        <row r="901">
          <cell r="A901">
            <v>10899</v>
          </cell>
          <cell r="B901" t="str">
            <v>Animal Health</v>
          </cell>
        </row>
        <row r="902">
          <cell r="A902">
            <v>10900</v>
          </cell>
          <cell r="B902" t="str">
            <v>Neighbourhoods Team</v>
          </cell>
        </row>
        <row r="903">
          <cell r="A903">
            <v>10901</v>
          </cell>
          <cell r="B903" t="str">
            <v>*Community - General</v>
          </cell>
        </row>
        <row r="904">
          <cell r="A904">
            <v>10902</v>
          </cell>
          <cell r="B904" t="str">
            <v>Dog Warden Service</v>
          </cell>
        </row>
        <row r="905">
          <cell r="A905">
            <v>10903</v>
          </cell>
          <cell r="B905" t="str">
            <v>*Eho Trainees</v>
          </cell>
        </row>
        <row r="906">
          <cell r="A906">
            <v>10904</v>
          </cell>
          <cell r="B906" t="str">
            <v>*Systems Admin</v>
          </cell>
        </row>
        <row r="907">
          <cell r="A907">
            <v>10905</v>
          </cell>
          <cell r="B907" t="str">
            <v>*Comm Psa Env Clean</v>
          </cell>
        </row>
        <row r="908">
          <cell r="A908">
            <v>10906</v>
          </cell>
          <cell r="B908" t="str">
            <v>Market General</v>
          </cell>
        </row>
        <row r="909">
          <cell r="A909">
            <v>10907</v>
          </cell>
          <cell r="B909" t="str">
            <v>Covered Market Hall</v>
          </cell>
        </row>
        <row r="910">
          <cell r="A910">
            <v>10908</v>
          </cell>
          <cell r="B910" t="str">
            <v>20th Century Stores</v>
          </cell>
        </row>
        <row r="911">
          <cell r="A911">
            <v>10909</v>
          </cell>
          <cell r="B911" t="str">
            <v>Produce Hall</v>
          </cell>
        </row>
        <row r="912">
          <cell r="A912">
            <v>10910</v>
          </cell>
          <cell r="B912" t="str">
            <v>Outdoor Markets</v>
          </cell>
        </row>
        <row r="913">
          <cell r="A913">
            <v>10911</v>
          </cell>
          <cell r="B913" t="str">
            <v>*Commercial Standard</v>
          </cell>
        </row>
        <row r="914">
          <cell r="A914">
            <v>10912</v>
          </cell>
          <cell r="B914" t="str">
            <v>Food &amp; Safety</v>
          </cell>
        </row>
        <row r="915">
          <cell r="A915">
            <v>10913</v>
          </cell>
          <cell r="B915" t="str">
            <v>Commercial Standards</v>
          </cell>
        </row>
        <row r="916">
          <cell r="A916">
            <v>10914</v>
          </cell>
          <cell r="B916" t="str">
            <v>*Health &amp; Safety</v>
          </cell>
        </row>
        <row r="917">
          <cell r="A917">
            <v>10915</v>
          </cell>
          <cell r="B917" t="str">
            <v>Premises Licensing</v>
          </cell>
        </row>
        <row r="918">
          <cell r="A918">
            <v>10916</v>
          </cell>
          <cell r="B918" t="str">
            <v>Taxi &amp; Private Hire</v>
          </cell>
        </row>
        <row r="919">
          <cell r="A919">
            <v>10917</v>
          </cell>
          <cell r="B919" t="str">
            <v>*Comm Trading-Inspn</v>
          </cell>
        </row>
        <row r="920">
          <cell r="A920">
            <v>10918</v>
          </cell>
          <cell r="B920" t="str">
            <v>Proceeds of Crime Ac</v>
          </cell>
        </row>
        <row r="921">
          <cell r="A921">
            <v>10919</v>
          </cell>
          <cell r="B921" t="str">
            <v>Trading Practices Ge</v>
          </cell>
        </row>
        <row r="922">
          <cell r="A922">
            <v>10920</v>
          </cell>
          <cell r="B922" t="str">
            <v>Air Group</v>
          </cell>
        </row>
        <row r="923">
          <cell r="A923">
            <v>10921</v>
          </cell>
          <cell r="B923" t="str">
            <v>*District Group</v>
          </cell>
        </row>
        <row r="924">
          <cell r="A924">
            <v>10922</v>
          </cell>
          <cell r="B924" t="str">
            <v>*Administration</v>
          </cell>
        </row>
        <row r="925">
          <cell r="A925">
            <v>10923</v>
          </cell>
          <cell r="B925" t="str">
            <v>Land &amp; Water Group</v>
          </cell>
        </row>
        <row r="926">
          <cell r="A926">
            <v>10924</v>
          </cell>
          <cell r="B926" t="str">
            <v>Operational Support</v>
          </cell>
        </row>
        <row r="927">
          <cell r="A927">
            <v>10925</v>
          </cell>
          <cell r="B927" t="str">
            <v>*Imp Man Services Ge</v>
          </cell>
        </row>
        <row r="928">
          <cell r="A928">
            <v>10926</v>
          </cell>
          <cell r="B928" t="str">
            <v>Interest Charge-HRA</v>
          </cell>
        </row>
        <row r="929">
          <cell r="A929">
            <v>10927</v>
          </cell>
          <cell r="B929" t="str">
            <v>Profit/Loss HRA Disp</v>
          </cell>
        </row>
        <row r="930">
          <cell r="A930">
            <v>10928</v>
          </cell>
          <cell r="B930" t="str">
            <v>Hra Debt Mgt Expense</v>
          </cell>
        </row>
        <row r="931">
          <cell r="A931">
            <v>10929</v>
          </cell>
          <cell r="B931" t="str">
            <v>HRA Voluntary MRP</v>
          </cell>
        </row>
        <row r="932">
          <cell r="A932">
            <v>10930</v>
          </cell>
          <cell r="B932" t="str">
            <v>HRA Adj Account</v>
          </cell>
        </row>
        <row r="933">
          <cell r="A933">
            <v>10931</v>
          </cell>
          <cell r="B933" t="str">
            <v>Change FairValue-HRA</v>
          </cell>
        </row>
        <row r="934">
          <cell r="A934">
            <v>10932</v>
          </cell>
          <cell r="B934" t="str">
            <v>HRA Depn/Impairment</v>
          </cell>
        </row>
        <row r="935">
          <cell r="A935">
            <v>10933</v>
          </cell>
          <cell r="B935" t="str">
            <v>Hra Prems/Discounts</v>
          </cell>
        </row>
        <row r="936">
          <cell r="A936">
            <v>10934</v>
          </cell>
          <cell r="B936" t="str">
            <v>U-Traffic&amp;S-Agma</v>
          </cell>
        </row>
        <row r="937">
          <cell r="A937">
            <v>10935</v>
          </cell>
          <cell r="B937" t="str">
            <v>*U-Policy-Agma</v>
          </cell>
        </row>
        <row r="938">
          <cell r="A938">
            <v>10936</v>
          </cell>
          <cell r="B938" t="str">
            <v>Hra Inc Baddebt Prov</v>
          </cell>
        </row>
        <row r="939">
          <cell r="A939">
            <v>10937</v>
          </cell>
          <cell r="B939" t="str">
            <v>Hra Reduced Bdp</v>
          </cell>
        </row>
        <row r="940">
          <cell r="A940">
            <v>10938</v>
          </cell>
          <cell r="B940" t="str">
            <v>Hra Income-Rents</v>
          </cell>
        </row>
        <row r="941">
          <cell r="A941">
            <v>10939</v>
          </cell>
          <cell r="B941" t="str">
            <v>*Cty Meals Baker St</v>
          </cell>
        </row>
        <row r="942">
          <cell r="A942">
            <v>10940</v>
          </cell>
          <cell r="B942" t="str">
            <v>*Cty Meals Highgate</v>
          </cell>
        </row>
        <row r="943">
          <cell r="A943">
            <v>10941</v>
          </cell>
          <cell r="B943" t="str">
            <v>Hra Subsidy Payable</v>
          </cell>
        </row>
        <row r="944">
          <cell r="A944">
            <v>10942</v>
          </cell>
          <cell r="B944" t="str">
            <v>Hra Subsidy Receivab</v>
          </cell>
        </row>
        <row r="945">
          <cell r="A945">
            <v>10943</v>
          </cell>
          <cell r="B945" t="str">
            <v>Hra Int. &amp; Inv. Inc.</v>
          </cell>
        </row>
        <row r="946">
          <cell r="A946">
            <v>10944</v>
          </cell>
          <cell r="B946" t="str">
            <v>Hra Not Int Adjust</v>
          </cell>
        </row>
        <row r="947">
          <cell r="A947">
            <v>10945</v>
          </cell>
          <cell r="B947" t="str">
            <v>Sh H/Ness Mgt Fee</v>
          </cell>
        </row>
        <row r="948">
          <cell r="A948">
            <v>10946</v>
          </cell>
          <cell r="B948" t="str">
            <v>Sh Repairs Mgt Fee</v>
          </cell>
        </row>
        <row r="949">
          <cell r="A949">
            <v>10947</v>
          </cell>
          <cell r="B949" t="str">
            <v>Sh Repairs Recharge</v>
          </cell>
        </row>
        <row r="950">
          <cell r="A950">
            <v>10948</v>
          </cell>
          <cell r="B950" t="str">
            <v>Sh Tenancy Mgt Fee</v>
          </cell>
        </row>
        <row r="951">
          <cell r="A951">
            <v>10949</v>
          </cell>
          <cell r="B951" t="str">
            <v>U-Housing Actadvance</v>
          </cell>
        </row>
        <row r="952">
          <cell r="A952">
            <v>10950</v>
          </cell>
          <cell r="B952" t="str">
            <v>U-Uncont-Loans H.Ass</v>
          </cell>
        </row>
        <row r="953">
          <cell r="A953">
            <v>10951</v>
          </cell>
          <cell r="B953" t="str">
            <v>*Hgf Grounds Maintnc</v>
          </cell>
        </row>
        <row r="954">
          <cell r="A954">
            <v>10952</v>
          </cell>
          <cell r="B954" t="str">
            <v>*Hgf Environ. Works</v>
          </cell>
        </row>
        <row r="955">
          <cell r="A955">
            <v>10953</v>
          </cell>
          <cell r="B955" t="str">
            <v>Strategic H- other</v>
          </cell>
        </row>
        <row r="956">
          <cell r="A956">
            <v>10954</v>
          </cell>
          <cell r="B956" t="str">
            <v>H Reps &amp; Adapts Team</v>
          </cell>
        </row>
        <row r="957">
          <cell r="A957">
            <v>10955</v>
          </cell>
          <cell r="B957" t="str">
            <v>Housing Strategy</v>
          </cell>
        </row>
        <row r="958">
          <cell r="A958">
            <v>10956</v>
          </cell>
          <cell r="B958" t="str">
            <v>Housing Standards</v>
          </cell>
        </row>
        <row r="959">
          <cell r="A959">
            <v>10957</v>
          </cell>
          <cell r="B959" t="str">
            <v>Default Works-Domest</v>
          </cell>
        </row>
        <row r="960">
          <cell r="A960">
            <v>10958</v>
          </cell>
          <cell r="B960" t="str">
            <v>*Ind Living &amp; Pol-Ge</v>
          </cell>
        </row>
        <row r="961">
          <cell r="A961">
            <v>10959</v>
          </cell>
          <cell r="B961" t="str">
            <v>*U-Hbcouncilrentreba</v>
          </cell>
        </row>
        <row r="962">
          <cell r="A962">
            <v>10960</v>
          </cell>
          <cell r="B962" t="str">
            <v>U-Hb Rent Allowances</v>
          </cell>
        </row>
        <row r="963">
          <cell r="A963">
            <v>10961</v>
          </cell>
          <cell r="B963" t="str">
            <v>*S.People Admin Gran</v>
          </cell>
        </row>
        <row r="964">
          <cell r="A964">
            <v>10962</v>
          </cell>
          <cell r="B964" t="str">
            <v>S.People Prog Grant</v>
          </cell>
        </row>
        <row r="965">
          <cell r="A965">
            <v>10963</v>
          </cell>
          <cell r="B965" t="str">
            <v>Homelessness-General</v>
          </cell>
        </row>
        <row r="966">
          <cell r="A966">
            <v>10964</v>
          </cell>
          <cell r="B966" t="str">
            <v>U-Magistrates Ct-Gen</v>
          </cell>
        </row>
        <row r="967">
          <cell r="A967">
            <v>10965</v>
          </cell>
          <cell r="B967" t="str">
            <v>U-Coroners Ct-Genera</v>
          </cell>
        </row>
        <row r="968">
          <cell r="A968">
            <v>10966</v>
          </cell>
          <cell r="B968" t="str">
            <v>U-Probation Serv-Gen</v>
          </cell>
        </row>
        <row r="969">
          <cell r="A969">
            <v>10967</v>
          </cell>
          <cell r="B969" t="str">
            <v>Offerton Parish Prec</v>
          </cell>
        </row>
        <row r="970">
          <cell r="A970">
            <v>10968</v>
          </cell>
          <cell r="B970" t="str">
            <v>Change FV Invest Pro</v>
          </cell>
        </row>
        <row r="971">
          <cell r="A971">
            <v>10969</v>
          </cell>
          <cell r="B971" t="str">
            <v>TM Interest Payable</v>
          </cell>
        </row>
        <row r="972">
          <cell r="A972">
            <v>10970</v>
          </cell>
          <cell r="B972" t="str">
            <v>FRS17Interest&amp;assets</v>
          </cell>
        </row>
        <row r="973">
          <cell r="A973">
            <v>10971</v>
          </cell>
          <cell r="B973" t="str">
            <v>U-Misc Fin-Corp Mang</v>
          </cell>
        </row>
        <row r="974">
          <cell r="A974">
            <v>10972</v>
          </cell>
          <cell r="B974" t="str">
            <v>U-Misc Fin-Democrati</v>
          </cell>
        </row>
        <row r="975">
          <cell r="A975">
            <v>10973</v>
          </cell>
          <cell r="B975" t="str">
            <v>U-Misc Fin-Emergcy P</v>
          </cell>
        </row>
        <row r="976">
          <cell r="A976">
            <v>10974</v>
          </cell>
          <cell r="B976" t="str">
            <v>*TRIPS Insurance</v>
          </cell>
        </row>
        <row r="977">
          <cell r="A977">
            <v>10975</v>
          </cell>
          <cell r="B977" t="str">
            <v>U-Misc Fin-Int&amp;Inves</v>
          </cell>
        </row>
        <row r="978">
          <cell r="A978">
            <v>10976</v>
          </cell>
          <cell r="B978" t="str">
            <v>U-Misc Fin-Marketing</v>
          </cell>
        </row>
        <row r="979">
          <cell r="A979">
            <v>10977</v>
          </cell>
          <cell r="B979" t="str">
            <v>Corporate Contingenc</v>
          </cell>
        </row>
        <row r="980">
          <cell r="A980">
            <v>10978</v>
          </cell>
          <cell r="B980" t="str">
            <v>TM Premiums &amp; Discou</v>
          </cell>
        </row>
        <row r="981">
          <cell r="A981">
            <v>10979</v>
          </cell>
          <cell r="B981" t="str">
            <v>AGMA &amp; LA Subs</v>
          </cell>
        </row>
        <row r="982">
          <cell r="A982">
            <v>10980</v>
          </cell>
          <cell r="B982" t="str">
            <v>TM Interest Receivab</v>
          </cell>
        </row>
        <row r="983">
          <cell r="A983">
            <v>10981</v>
          </cell>
          <cell r="B983" t="str">
            <v>Transferred Debt</v>
          </cell>
        </row>
        <row r="984">
          <cell r="A984">
            <v>10982</v>
          </cell>
          <cell r="B984" t="str">
            <v>*Cty Meals Shepley H</v>
          </cell>
        </row>
        <row r="985">
          <cell r="A985">
            <v>10983</v>
          </cell>
          <cell r="B985" t="str">
            <v>*Cty Meals Svce Gen</v>
          </cell>
        </row>
        <row r="986">
          <cell r="A986">
            <v>10984</v>
          </cell>
          <cell r="B986" t="str">
            <v>*East Team 1</v>
          </cell>
        </row>
        <row r="987">
          <cell r="A987">
            <v>10985</v>
          </cell>
          <cell r="B987" t="str">
            <v>*East Team 2</v>
          </cell>
        </row>
        <row r="988">
          <cell r="A988">
            <v>10986</v>
          </cell>
          <cell r="B988" t="str">
            <v>*West Team 1</v>
          </cell>
        </row>
        <row r="989">
          <cell r="A989">
            <v>10987</v>
          </cell>
          <cell r="B989" t="str">
            <v>*West Team 2</v>
          </cell>
        </row>
        <row r="990">
          <cell r="A990">
            <v>10988</v>
          </cell>
          <cell r="B990" t="str">
            <v>SPB  (Civic Bldngs)</v>
          </cell>
        </row>
        <row r="991">
          <cell r="A991">
            <v>10989</v>
          </cell>
          <cell r="B991" t="str">
            <v>*Training &amp; Develop</v>
          </cell>
        </row>
        <row r="992">
          <cell r="A992">
            <v>10990</v>
          </cell>
          <cell r="B992" t="str">
            <v>*Reablement Teams</v>
          </cell>
        </row>
        <row r="993">
          <cell r="A993">
            <v>10991</v>
          </cell>
          <cell r="B993" t="str">
            <v>*Park View Day centr</v>
          </cell>
        </row>
        <row r="994">
          <cell r="A994">
            <v>10992</v>
          </cell>
          <cell r="B994" t="str">
            <v>*Community Rehab Tea</v>
          </cell>
        </row>
        <row r="995">
          <cell r="A995">
            <v>10993</v>
          </cell>
          <cell r="B995" t="str">
            <v>*Mendip Sheltered Ho</v>
          </cell>
        </row>
        <row r="996">
          <cell r="A996">
            <v>10994</v>
          </cell>
          <cell r="B996" t="str">
            <v>*Supported Hospital</v>
          </cell>
        </row>
        <row r="997">
          <cell r="A997">
            <v>10995</v>
          </cell>
          <cell r="B997" t="str">
            <v>*Assistant Practione</v>
          </cell>
        </row>
        <row r="998">
          <cell r="A998">
            <v>10996</v>
          </cell>
          <cell r="B998" t="str">
            <v>*NVQ Assessment Team</v>
          </cell>
        </row>
        <row r="999">
          <cell r="A999">
            <v>10997</v>
          </cell>
          <cell r="B999" t="str">
            <v>*Home Care-General</v>
          </cell>
        </row>
        <row r="1000">
          <cell r="A1000">
            <v>10998</v>
          </cell>
          <cell r="B1000" t="str">
            <v>*OP Int'm. Care admi</v>
          </cell>
        </row>
        <row r="1001">
          <cell r="A1001">
            <v>10999</v>
          </cell>
          <cell r="B1001" t="str">
            <v>*Intermediate Care</v>
          </cell>
        </row>
        <row r="1002">
          <cell r="A1002">
            <v>11000</v>
          </cell>
          <cell r="B1002" t="str">
            <v>OP East Managers</v>
          </cell>
        </row>
        <row r="1003">
          <cell r="A1003">
            <v>11001</v>
          </cell>
          <cell r="B1003" t="str">
            <v>*Long Term East 1</v>
          </cell>
        </row>
        <row r="1004">
          <cell r="A1004">
            <v>11002</v>
          </cell>
          <cell r="B1004" t="str">
            <v>*Long Term East 2</v>
          </cell>
        </row>
        <row r="1005">
          <cell r="A1005">
            <v>11003</v>
          </cell>
          <cell r="B1005" t="str">
            <v>*Long Term West 1</v>
          </cell>
        </row>
        <row r="1006">
          <cell r="A1006">
            <v>11004</v>
          </cell>
          <cell r="B1006" t="str">
            <v>*Long Term West 2</v>
          </cell>
        </row>
        <row r="1007">
          <cell r="A1007">
            <v>11005</v>
          </cell>
          <cell r="B1007" t="str">
            <v>*Carers Grant Posts</v>
          </cell>
        </row>
        <row r="1008">
          <cell r="A1008">
            <v>11006</v>
          </cell>
          <cell r="B1008" t="str">
            <v>*Emergency Respite g</v>
          </cell>
        </row>
        <row r="1009">
          <cell r="A1009">
            <v>11007</v>
          </cell>
          <cell r="B1009" t="str">
            <v>*Unallocated Grants</v>
          </cell>
        </row>
        <row r="1010">
          <cell r="A1010">
            <v>11008</v>
          </cell>
          <cell r="B1010" t="str">
            <v>* Op Res Cost ST W</v>
          </cell>
        </row>
        <row r="1011">
          <cell r="A1011">
            <v>11009</v>
          </cell>
          <cell r="B1011" t="str">
            <v>*Int'm. Care EMI bed</v>
          </cell>
        </row>
        <row r="1012">
          <cell r="A1012">
            <v>11010</v>
          </cell>
          <cell r="B1012" t="str">
            <v>*LALEP LangLit enric</v>
          </cell>
        </row>
        <row r="1013">
          <cell r="A1013">
            <v>11011</v>
          </cell>
          <cell r="B1013" t="str">
            <v>Preventative Tech'Gy</v>
          </cell>
        </row>
        <row r="1014">
          <cell r="A1014">
            <v>11012</v>
          </cell>
          <cell r="B1014" t="str">
            <v>* Care Mgt S/Term We</v>
          </cell>
        </row>
        <row r="1015">
          <cell r="A1015">
            <v>11013</v>
          </cell>
          <cell r="B1015" t="str">
            <v>*Cm&amp;Nr:Longterm Eas</v>
          </cell>
        </row>
        <row r="1016">
          <cell r="A1016">
            <v>11014</v>
          </cell>
          <cell r="B1016" t="str">
            <v>*Long Term West 2</v>
          </cell>
        </row>
        <row r="1017">
          <cell r="A1017">
            <v>11015</v>
          </cell>
          <cell r="B1017" t="str">
            <v>Administration</v>
          </cell>
        </row>
        <row r="1018">
          <cell r="A1018">
            <v>11016</v>
          </cell>
          <cell r="B1018" t="str">
            <v>Minor Adap'S Joiner</v>
          </cell>
        </row>
        <row r="1019">
          <cell r="A1019">
            <v>11017</v>
          </cell>
          <cell r="B1019" t="str">
            <v>*83 Caistor Street</v>
          </cell>
        </row>
        <row r="1020">
          <cell r="A1020">
            <v>11018</v>
          </cell>
          <cell r="B1020" t="str">
            <v>*85 Caistor Street</v>
          </cell>
        </row>
        <row r="1021">
          <cell r="A1021">
            <v>11019</v>
          </cell>
          <cell r="B1021" t="str">
            <v>*170 Shaw Heath</v>
          </cell>
        </row>
        <row r="1022">
          <cell r="A1022">
            <v>11020</v>
          </cell>
          <cell r="B1022" t="str">
            <v>*5 Stirling Close</v>
          </cell>
        </row>
        <row r="1023">
          <cell r="A1023">
            <v>11021</v>
          </cell>
          <cell r="B1023" t="str">
            <v>*9 Schools Court</v>
          </cell>
        </row>
        <row r="1024">
          <cell r="A1024">
            <v>11022</v>
          </cell>
          <cell r="B1024" t="str">
            <v>*Ladythorn,28 Turncr</v>
          </cell>
        </row>
        <row r="1025">
          <cell r="A1025">
            <v>11023</v>
          </cell>
          <cell r="B1025" t="str">
            <v>*Hulme Hall Tenancy</v>
          </cell>
        </row>
        <row r="1026">
          <cell r="A1026">
            <v>11024</v>
          </cell>
          <cell r="B1026" t="str">
            <v>*24 Finsbury Road</v>
          </cell>
        </row>
        <row r="1027">
          <cell r="A1027">
            <v>11025</v>
          </cell>
          <cell r="B1027" t="str">
            <v>*32 Rushworth Court</v>
          </cell>
        </row>
        <row r="1028">
          <cell r="A1028">
            <v>11026</v>
          </cell>
          <cell r="B1028" t="str">
            <v>*8 Brook Road</v>
          </cell>
        </row>
        <row r="1029">
          <cell r="A1029">
            <v>11027</v>
          </cell>
          <cell r="B1029" t="str">
            <v>*36 Eldon Road</v>
          </cell>
        </row>
        <row r="1030">
          <cell r="A1030">
            <v>11028</v>
          </cell>
          <cell r="B1030" t="str">
            <v>*57 Highfield Avenue</v>
          </cell>
        </row>
        <row r="1031">
          <cell r="A1031">
            <v>11029</v>
          </cell>
          <cell r="B1031" t="str">
            <v>*35 Kinder Grove</v>
          </cell>
        </row>
        <row r="1032">
          <cell r="A1032">
            <v>11030</v>
          </cell>
          <cell r="B1032" t="str">
            <v>*36 Kayswood Road</v>
          </cell>
        </row>
        <row r="1033">
          <cell r="A1033">
            <v>11031</v>
          </cell>
          <cell r="B1033" t="str">
            <v>*3 Cranleigh Drive</v>
          </cell>
        </row>
        <row r="1034">
          <cell r="A1034">
            <v>11032</v>
          </cell>
          <cell r="B1034" t="str">
            <v>*Ridgeside,Westbury</v>
          </cell>
        </row>
        <row r="1035">
          <cell r="A1035">
            <v>11033</v>
          </cell>
          <cell r="B1035" t="str">
            <v>Millview Respite</v>
          </cell>
        </row>
        <row r="1036">
          <cell r="A1036">
            <v>11034</v>
          </cell>
          <cell r="B1036" t="str">
            <v>*Flm Out Of Hrs-Hulm</v>
          </cell>
        </row>
        <row r="1037">
          <cell r="A1037">
            <v>11035</v>
          </cell>
          <cell r="B1037" t="str">
            <v>*20 Peverill Drive</v>
          </cell>
        </row>
        <row r="1038">
          <cell r="A1038">
            <v>11036</v>
          </cell>
          <cell r="B1038" t="str">
            <v>*2 Stokesay Drive</v>
          </cell>
        </row>
        <row r="1039">
          <cell r="A1039">
            <v>11037</v>
          </cell>
          <cell r="B1039" t="str">
            <v>*22 Howden Close</v>
          </cell>
        </row>
        <row r="1040">
          <cell r="A1040">
            <v>11038</v>
          </cell>
          <cell r="B1040" t="str">
            <v>*3 George Street Eas</v>
          </cell>
        </row>
        <row r="1041">
          <cell r="A1041">
            <v>11039</v>
          </cell>
          <cell r="B1041" t="str">
            <v>*23 Rodney Drive</v>
          </cell>
        </row>
        <row r="1042">
          <cell r="A1042">
            <v>11040</v>
          </cell>
          <cell r="B1042" t="str">
            <v>*3 Chapel Street</v>
          </cell>
        </row>
        <row r="1043">
          <cell r="A1043">
            <v>11041</v>
          </cell>
          <cell r="B1043" t="str">
            <v>*Choice Support</v>
          </cell>
        </row>
        <row r="1044">
          <cell r="A1044">
            <v>11042</v>
          </cell>
          <cell r="B1044" t="str">
            <v>*N2 131 The Bentleys</v>
          </cell>
        </row>
        <row r="1045">
          <cell r="A1045">
            <v>11043</v>
          </cell>
          <cell r="B1045" t="str">
            <v>*9 Foxbank Court</v>
          </cell>
        </row>
        <row r="1046">
          <cell r="A1046">
            <v>11044</v>
          </cell>
          <cell r="B1046" t="str">
            <v>8A Owens Farm Drive</v>
          </cell>
        </row>
        <row r="1047">
          <cell r="A1047">
            <v>11045</v>
          </cell>
          <cell r="B1047" t="str">
            <v>Windsor Walk</v>
          </cell>
        </row>
        <row r="1048">
          <cell r="A1048">
            <v>11046</v>
          </cell>
          <cell r="B1048" t="str">
            <v>*Birchall Green</v>
          </cell>
        </row>
        <row r="1049">
          <cell r="A1049">
            <v>11047</v>
          </cell>
          <cell r="B1049" t="str">
            <v>Ld Tenancies Managmt</v>
          </cell>
        </row>
        <row r="1050">
          <cell r="A1050">
            <v>11048</v>
          </cell>
          <cell r="B1050" t="str">
            <v>SPB   (Social Svces)</v>
          </cell>
        </row>
        <row r="1051">
          <cell r="A1051">
            <v>11049</v>
          </cell>
          <cell r="B1051" t="str">
            <v>Assist Team Managers</v>
          </cell>
        </row>
        <row r="1052">
          <cell r="A1052">
            <v>11050</v>
          </cell>
          <cell r="B1052" t="str">
            <v>Unfunded ATMs &amp; SWS</v>
          </cell>
        </row>
        <row r="1053">
          <cell r="A1053">
            <v>11051</v>
          </cell>
          <cell r="B1053" t="str">
            <v>*District Three ATMs</v>
          </cell>
        </row>
        <row r="1054">
          <cell r="A1054">
            <v>11052</v>
          </cell>
          <cell r="B1054" t="str">
            <v>*District Four ATMs</v>
          </cell>
        </row>
        <row r="1055">
          <cell r="A1055">
            <v>11053</v>
          </cell>
          <cell r="B1055" t="str">
            <v>*N5 Senior Supp Work</v>
          </cell>
        </row>
        <row r="1056">
          <cell r="A1056">
            <v>11054</v>
          </cell>
          <cell r="B1056" t="str">
            <v>*347A London Road</v>
          </cell>
        </row>
        <row r="1057">
          <cell r="A1057">
            <v>11055</v>
          </cell>
          <cell r="B1057" t="str">
            <v>*Pct Continuing Care</v>
          </cell>
        </row>
        <row r="1058">
          <cell r="A1058">
            <v>11056</v>
          </cell>
          <cell r="B1058" t="str">
            <v>*Quality&amp;Man Handlin</v>
          </cell>
        </row>
        <row r="1059">
          <cell r="A1059">
            <v>11057</v>
          </cell>
          <cell r="B1059" t="str">
            <v>Development Fund</v>
          </cell>
        </row>
        <row r="1060">
          <cell r="A1060">
            <v>11058</v>
          </cell>
          <cell r="B1060" t="str">
            <v>*Embracing Diversity</v>
          </cell>
        </row>
        <row r="1061">
          <cell r="A1061">
            <v>11059</v>
          </cell>
          <cell r="B1061" t="str">
            <v>SPB (Depots General)</v>
          </cell>
        </row>
        <row r="1062">
          <cell r="A1062">
            <v>11060</v>
          </cell>
          <cell r="B1062" t="str">
            <v>*Embracing Div Act 3</v>
          </cell>
        </row>
        <row r="1063">
          <cell r="A1063">
            <v>11061</v>
          </cell>
          <cell r="B1063" t="str">
            <v>*Millbrook Day Centr</v>
          </cell>
        </row>
        <row r="1064">
          <cell r="A1064">
            <v>11062</v>
          </cell>
          <cell r="B1064" t="str">
            <v>U-Corp Activities-Ge</v>
          </cell>
        </row>
        <row r="1065">
          <cell r="A1065">
            <v>11063</v>
          </cell>
          <cell r="B1065" t="str">
            <v>*ICT-Broadband</v>
          </cell>
        </row>
        <row r="1066">
          <cell r="A1066">
            <v>11064</v>
          </cell>
          <cell r="B1066" t="str">
            <v>POD Printing</v>
          </cell>
        </row>
        <row r="1067">
          <cell r="A1067">
            <v>11065</v>
          </cell>
          <cell r="B1067" t="str">
            <v>Contact Centre &amp; FPH</v>
          </cell>
        </row>
        <row r="1068">
          <cell r="A1068">
            <v>11066</v>
          </cell>
          <cell r="B1068" t="str">
            <v>*ICT- Data Centre</v>
          </cell>
        </row>
        <row r="1069">
          <cell r="A1069">
            <v>11067</v>
          </cell>
          <cell r="B1069" t="str">
            <v>*ICT- Infrastructure</v>
          </cell>
        </row>
        <row r="1070">
          <cell r="A1070">
            <v>11068</v>
          </cell>
          <cell r="B1070" t="str">
            <v>*ICT- Development</v>
          </cell>
        </row>
        <row r="1071">
          <cell r="A1071">
            <v>11069</v>
          </cell>
          <cell r="B1071" t="str">
            <v>*ICT On-Line Strateg</v>
          </cell>
        </row>
        <row r="1072">
          <cell r="A1072">
            <v>11070</v>
          </cell>
          <cell r="B1072" t="str">
            <v>*ICT- E-Government</v>
          </cell>
        </row>
        <row r="1073">
          <cell r="A1073">
            <v>11071</v>
          </cell>
          <cell r="B1073" t="str">
            <v>Pure Innovations</v>
          </cell>
        </row>
        <row r="1074">
          <cell r="A1074">
            <v>11072</v>
          </cell>
          <cell r="B1074" t="str">
            <v>*ICT-  Desktop</v>
          </cell>
        </row>
        <row r="1075">
          <cell r="A1075">
            <v>11073</v>
          </cell>
          <cell r="B1075" t="str">
            <v>IT Main</v>
          </cell>
        </row>
        <row r="1076">
          <cell r="A1076">
            <v>11074</v>
          </cell>
          <cell r="B1076" t="str">
            <v>*BTran - IT Training</v>
          </cell>
        </row>
        <row r="1077">
          <cell r="A1077">
            <v>11075</v>
          </cell>
          <cell r="B1077" t="str">
            <v>*ICT- Head of Servic</v>
          </cell>
        </row>
        <row r="1078">
          <cell r="A1078">
            <v>11076</v>
          </cell>
          <cell r="B1078" t="str">
            <v>*ICT- Resilience</v>
          </cell>
        </row>
        <row r="1079">
          <cell r="A1079">
            <v>11077</v>
          </cell>
          <cell r="B1079" t="str">
            <v>*ICT- Internet</v>
          </cell>
        </row>
        <row r="1080">
          <cell r="A1080">
            <v>11078</v>
          </cell>
          <cell r="B1080" t="str">
            <v>*DbD Technical</v>
          </cell>
        </row>
        <row r="1081">
          <cell r="A1081">
            <v>11079</v>
          </cell>
          <cell r="B1081" t="str">
            <v>*MCU Printing</v>
          </cell>
        </row>
        <row r="1082">
          <cell r="A1082">
            <v>11080</v>
          </cell>
          <cell r="B1082" t="str">
            <v>*ICT- Service Desk</v>
          </cell>
        </row>
        <row r="1083">
          <cell r="A1083">
            <v>11081</v>
          </cell>
          <cell r="B1083" t="str">
            <v>*ICT- Tech. Support</v>
          </cell>
        </row>
        <row r="1084">
          <cell r="A1084">
            <v>11082</v>
          </cell>
          <cell r="B1084" t="str">
            <v>*ICT-  Telephones</v>
          </cell>
        </row>
        <row r="1085">
          <cell r="A1085">
            <v>11083</v>
          </cell>
          <cell r="B1085" t="str">
            <v>Central HSE</v>
          </cell>
        </row>
        <row r="1086">
          <cell r="A1086">
            <v>11084</v>
          </cell>
          <cell r="B1086" t="str">
            <v>Stopford  HSE</v>
          </cell>
        </row>
        <row r="1087">
          <cell r="A1087">
            <v>11085</v>
          </cell>
          <cell r="B1087" t="str">
            <v>*A.S.B.A.T</v>
          </cell>
        </row>
        <row r="1088">
          <cell r="A1088">
            <v>11086</v>
          </cell>
          <cell r="B1088" t="str">
            <v>*Area Co-ordinators</v>
          </cell>
        </row>
        <row r="1089">
          <cell r="A1089">
            <v>11087</v>
          </cell>
          <cell r="B1089" t="str">
            <v>*DBD Project Support</v>
          </cell>
        </row>
        <row r="1090">
          <cell r="A1090">
            <v>11088</v>
          </cell>
          <cell r="B1090" t="str">
            <v>Safer Partnerships</v>
          </cell>
        </row>
        <row r="1091">
          <cell r="A1091">
            <v>11089</v>
          </cell>
          <cell r="B1091" t="str">
            <v>*Spotlight</v>
          </cell>
        </row>
        <row r="1092">
          <cell r="A1092">
            <v>11090</v>
          </cell>
          <cell r="B1092" t="str">
            <v>Community Safetyunit</v>
          </cell>
        </row>
        <row r="1093">
          <cell r="A1093">
            <v>11091</v>
          </cell>
          <cell r="B1093" t="str">
            <v>*DIP</v>
          </cell>
        </row>
        <row r="1094">
          <cell r="A1094">
            <v>11092</v>
          </cell>
          <cell r="B1094" t="str">
            <v>Drug Action Team</v>
          </cell>
        </row>
        <row r="1095">
          <cell r="A1095">
            <v>11093</v>
          </cell>
          <cell r="B1095" t="str">
            <v>*Participatory Budge</v>
          </cell>
        </row>
        <row r="1096">
          <cell r="A1096">
            <v>11094</v>
          </cell>
          <cell r="B1096" t="str">
            <v>*Police Cs Officers</v>
          </cell>
        </row>
        <row r="1097">
          <cell r="A1097">
            <v>11096</v>
          </cell>
          <cell r="B1097" t="str">
            <v>*Preventing Violence</v>
          </cell>
        </row>
        <row r="1098">
          <cell r="A1098">
            <v>11097</v>
          </cell>
          <cell r="B1098" t="str">
            <v>*CCTV</v>
          </cell>
        </row>
        <row r="1099">
          <cell r="A1099">
            <v>11098</v>
          </cell>
          <cell r="B1099" t="str">
            <v>Enhanced F/Door Team</v>
          </cell>
        </row>
        <row r="1100">
          <cell r="A1100">
            <v>11099</v>
          </cell>
          <cell r="B1100" t="str">
            <v>*Corp Consultn-Gener</v>
          </cell>
        </row>
        <row r="1101">
          <cell r="A1101">
            <v>11100</v>
          </cell>
          <cell r="B1101" t="str">
            <v>Democratic Services</v>
          </cell>
        </row>
        <row r="1102">
          <cell r="A1102">
            <v>11101</v>
          </cell>
          <cell r="B1102" t="str">
            <v>*ASC Stockport Toget</v>
          </cell>
        </row>
        <row r="1103">
          <cell r="A1103">
            <v>11102</v>
          </cell>
          <cell r="B1103" t="str">
            <v>Electoral Registn</v>
          </cell>
        </row>
        <row r="1104">
          <cell r="A1104">
            <v>11103</v>
          </cell>
          <cell r="B1104" t="str">
            <v>Civil Resilience</v>
          </cell>
        </row>
        <row r="1105">
          <cell r="A1105">
            <v>11104</v>
          </cell>
          <cell r="B1105" t="str">
            <v>*Cross Folio Savings</v>
          </cell>
        </row>
        <row r="1106">
          <cell r="A1106">
            <v>11105</v>
          </cell>
          <cell r="B1106" t="str">
            <v>*Strat. &amp; Performanc</v>
          </cell>
        </row>
        <row r="1107">
          <cell r="A1107">
            <v>11106</v>
          </cell>
          <cell r="B1107" t="str">
            <v>*Ashlea Admin</v>
          </cell>
        </row>
        <row r="1108">
          <cell r="A1108">
            <v>11107</v>
          </cell>
          <cell r="B1108" t="str">
            <v>*Ashlea Running Cost</v>
          </cell>
        </row>
        <row r="1109">
          <cell r="A1109">
            <v>11109</v>
          </cell>
          <cell r="B1109" t="str">
            <v>*Marketing &amp;Comm Uni</v>
          </cell>
        </row>
        <row r="1110">
          <cell r="A1110">
            <v>11110</v>
          </cell>
          <cell r="B1110" t="str">
            <v>Mayoralty</v>
          </cell>
        </row>
        <row r="1111">
          <cell r="A1111">
            <v>11111</v>
          </cell>
          <cell r="B1111" t="str">
            <v>Members Services</v>
          </cell>
        </row>
        <row r="1112">
          <cell r="A1112">
            <v>11112</v>
          </cell>
          <cell r="B1112" t="str">
            <v>Chief Execs Office</v>
          </cell>
        </row>
        <row r="1113">
          <cell r="A1113">
            <v>11113</v>
          </cell>
          <cell r="B1113" t="str">
            <v>Driver Assessment</v>
          </cell>
        </row>
        <row r="1114">
          <cell r="A1114">
            <v>11114</v>
          </cell>
          <cell r="B1114" t="str">
            <v>*Policy Planning-Adm</v>
          </cell>
        </row>
        <row r="1115">
          <cell r="A1115">
            <v>11115</v>
          </cell>
          <cell r="B1115" t="str">
            <v>*Stock. Partnership</v>
          </cell>
        </row>
        <row r="1116">
          <cell r="A1116">
            <v>11116</v>
          </cell>
          <cell r="B1116" t="str">
            <v>*Policy Unit-general</v>
          </cell>
        </row>
        <row r="1117">
          <cell r="A1117">
            <v>11117</v>
          </cell>
          <cell r="B1117" t="str">
            <v>Legal Services</v>
          </cell>
        </row>
        <row r="1118">
          <cell r="A1118">
            <v>11118</v>
          </cell>
          <cell r="B1118" t="str">
            <v>*Contract&amp;Competitio</v>
          </cell>
        </row>
        <row r="1119">
          <cell r="A1119">
            <v>11119</v>
          </cell>
          <cell r="B1119" t="str">
            <v>*Conveyancing</v>
          </cell>
        </row>
        <row r="1120">
          <cell r="A1120">
            <v>11120</v>
          </cell>
          <cell r="B1120" t="str">
            <v>*Environment &amp; Tech</v>
          </cell>
        </row>
        <row r="1121">
          <cell r="A1121">
            <v>11121</v>
          </cell>
          <cell r="B1121" t="str">
            <v>*General Legal Serv</v>
          </cell>
        </row>
        <row r="1122">
          <cell r="A1122">
            <v>11122</v>
          </cell>
          <cell r="B1122" t="str">
            <v>POD Health &amp; Safety</v>
          </cell>
        </row>
        <row r="1123">
          <cell r="A1123">
            <v>11123</v>
          </cell>
          <cell r="B1123" t="str">
            <v>*HR- Schools</v>
          </cell>
        </row>
        <row r="1124">
          <cell r="A1124">
            <v>11124</v>
          </cell>
          <cell r="B1124" t="str">
            <v>*Marple Running Cost</v>
          </cell>
        </row>
        <row r="1125">
          <cell r="A1125">
            <v>11125</v>
          </cell>
          <cell r="B1125" t="str">
            <v>*BTran - OD&amp;L</v>
          </cell>
        </row>
        <row r="1126">
          <cell r="A1126">
            <v>11126</v>
          </cell>
          <cell r="B1126" t="str">
            <v>*HR- Resourcing</v>
          </cell>
        </row>
        <row r="1127">
          <cell r="A1127">
            <v>11127</v>
          </cell>
          <cell r="B1127" t="str">
            <v>Land Charges</v>
          </cell>
        </row>
        <row r="1128">
          <cell r="A1128">
            <v>11128</v>
          </cell>
          <cell r="B1128" t="str">
            <v>*External Clients</v>
          </cell>
        </row>
        <row r="1129">
          <cell r="A1129">
            <v>11129</v>
          </cell>
          <cell r="B1129" t="str">
            <v>POD External Bureau</v>
          </cell>
        </row>
        <row r="1130">
          <cell r="A1130">
            <v>11130</v>
          </cell>
          <cell r="B1130" t="str">
            <v>*HR Apprentices</v>
          </cell>
        </row>
        <row r="1131">
          <cell r="A1131">
            <v>11131</v>
          </cell>
          <cell r="B1131" t="str">
            <v>POD Trade Union</v>
          </cell>
        </row>
        <row r="1132">
          <cell r="A1132">
            <v>11132</v>
          </cell>
          <cell r="B1132" t="str">
            <v>*HR xTRA</v>
          </cell>
        </row>
        <row r="1133">
          <cell r="A1133">
            <v>11133</v>
          </cell>
          <cell r="B1133" t="str">
            <v>*FMS - Finance</v>
          </cell>
        </row>
        <row r="1134">
          <cell r="A1134">
            <v>11134</v>
          </cell>
          <cell r="B1134" t="str">
            <v>*FSS CSS Admin Team</v>
          </cell>
        </row>
        <row r="1135">
          <cell r="A1135">
            <v>11135</v>
          </cell>
          <cell r="B1135" t="str">
            <v>*FSS: Cashiers</v>
          </cell>
        </row>
        <row r="1136">
          <cell r="A1136">
            <v>11136</v>
          </cell>
          <cell r="B1136" t="str">
            <v>STaR Procurement</v>
          </cell>
        </row>
        <row r="1137">
          <cell r="A1137">
            <v>11137</v>
          </cell>
          <cell r="B1137" t="str">
            <v>Property Client Acct</v>
          </cell>
        </row>
        <row r="1138">
          <cell r="A1138">
            <v>11138</v>
          </cell>
          <cell r="B1138" t="str">
            <v>*CS Cst Enq Counter</v>
          </cell>
        </row>
        <row r="1139">
          <cell r="A1139">
            <v>11139</v>
          </cell>
          <cell r="B1139" t="str">
            <v>Bentax</v>
          </cell>
        </row>
        <row r="1140">
          <cell r="A1140">
            <v>11140</v>
          </cell>
          <cell r="B1140" t="str">
            <v>*4th Floor ASC</v>
          </cell>
        </row>
        <row r="1141">
          <cell r="A1141">
            <v>11141</v>
          </cell>
          <cell r="B1141" t="str">
            <v>Corporate Director</v>
          </cell>
        </row>
        <row r="1142">
          <cell r="A1142">
            <v>11142</v>
          </cell>
          <cell r="B1142" t="str">
            <v>*FSS:Sys Support &amp; M</v>
          </cell>
        </row>
        <row r="1143">
          <cell r="A1143">
            <v>11143</v>
          </cell>
          <cell r="B1143" t="str">
            <v>*Learning Disabiliti</v>
          </cell>
        </row>
        <row r="1144">
          <cell r="A1144">
            <v>11144</v>
          </cell>
          <cell r="B1144" t="str">
            <v>*Torkington Admin</v>
          </cell>
        </row>
        <row r="1145">
          <cell r="A1145">
            <v>11145</v>
          </cell>
          <cell r="B1145" t="str">
            <v>*FSS:Financial Contr</v>
          </cell>
        </row>
        <row r="1146">
          <cell r="A1146">
            <v>11146</v>
          </cell>
          <cell r="B1146" t="str">
            <v>Info &amp; Governance</v>
          </cell>
        </row>
        <row r="1147">
          <cell r="A1147">
            <v>11147</v>
          </cell>
          <cell r="B1147" t="str">
            <v>*Recovery Team (HB)</v>
          </cell>
        </row>
        <row r="1148">
          <cell r="A1148">
            <v>11148</v>
          </cell>
          <cell r="B1148" t="str">
            <v>*U-Uncont-rev&amp;benefi</v>
          </cell>
        </row>
        <row r="1149">
          <cell r="A1149">
            <v>11149</v>
          </cell>
          <cell r="B1149" t="str">
            <v>FSS Insurance</v>
          </cell>
        </row>
        <row r="1150">
          <cell r="A1150">
            <v>11150</v>
          </cell>
          <cell r="B1150" t="str">
            <v>*FMS - Internal Audi</v>
          </cell>
        </row>
        <row r="1151">
          <cell r="A1151">
            <v>11151</v>
          </cell>
          <cell r="B1151" t="str">
            <v>Council Tax Coll'n</v>
          </cell>
        </row>
        <row r="1152">
          <cell r="A1152">
            <v>11152</v>
          </cell>
          <cell r="B1152" t="str">
            <v>Mailroom Service</v>
          </cell>
        </row>
        <row r="1153">
          <cell r="A1153">
            <v>11153</v>
          </cell>
          <cell r="B1153" t="str">
            <v>*CSS FACT (Stud Fnc)</v>
          </cell>
        </row>
        <row r="1154">
          <cell r="A1154">
            <v>11154</v>
          </cell>
          <cell r="B1154" t="str">
            <v>Bus. Rates Collectio</v>
          </cell>
        </row>
        <row r="1155">
          <cell r="A1155">
            <v>11155</v>
          </cell>
          <cell r="B1155" t="str">
            <v>POD DBS</v>
          </cell>
        </row>
        <row r="1156">
          <cell r="A1156">
            <v>11156</v>
          </cell>
          <cell r="B1156" t="str">
            <v>*CSS Policy &amp; Tech</v>
          </cell>
        </row>
        <row r="1157">
          <cell r="A1157">
            <v>11157</v>
          </cell>
          <cell r="B1157" t="str">
            <v>*Info: Records Mgt</v>
          </cell>
        </row>
        <row r="1158">
          <cell r="A1158">
            <v>11158</v>
          </cell>
          <cell r="B1158" t="str">
            <v>Gen Fund Financing</v>
          </cell>
        </row>
        <row r="1159">
          <cell r="A1159">
            <v>11159</v>
          </cell>
          <cell r="B1159" t="str">
            <v>Ins: Property Perils</v>
          </cell>
        </row>
        <row r="1160">
          <cell r="A1160">
            <v>11160</v>
          </cell>
          <cell r="B1160" t="str">
            <v>Ins: Other Perils</v>
          </cell>
        </row>
        <row r="1161">
          <cell r="A1161">
            <v>11161</v>
          </cell>
          <cell r="B1161" t="str">
            <v>Ins: Car Perils</v>
          </cell>
        </row>
        <row r="1162">
          <cell r="A1162">
            <v>11162</v>
          </cell>
          <cell r="B1162" t="str">
            <v>Ins: Fleet Perils</v>
          </cell>
        </row>
        <row r="1163">
          <cell r="A1163">
            <v>11163</v>
          </cell>
          <cell r="B1163" t="str">
            <v>*Nursery Direct Labo</v>
          </cell>
        </row>
        <row r="1164">
          <cell r="A1164">
            <v>11164</v>
          </cell>
          <cell r="B1164" t="str">
            <v>*Nature Res-Compstal</v>
          </cell>
        </row>
        <row r="1165">
          <cell r="A1165">
            <v>11165</v>
          </cell>
          <cell r="B1165" t="str">
            <v>*Reddish Vale C.Park</v>
          </cell>
        </row>
        <row r="1166">
          <cell r="A1166">
            <v>11166</v>
          </cell>
          <cell r="B1166" t="str">
            <v>SSK Contract SLA</v>
          </cell>
        </row>
        <row r="1167">
          <cell r="A1167">
            <v>11167</v>
          </cell>
          <cell r="B1167" t="str">
            <v>Allotments-General</v>
          </cell>
        </row>
        <row r="1168">
          <cell r="A1168">
            <v>11168</v>
          </cell>
          <cell r="B1168" t="str">
            <v>Emergency Tree Works</v>
          </cell>
        </row>
        <row r="1169">
          <cell r="A1169">
            <v>11169</v>
          </cell>
          <cell r="B1169" t="str">
            <v>*Bruntwood Park</v>
          </cell>
        </row>
        <row r="1170">
          <cell r="A1170">
            <v>11170</v>
          </cell>
          <cell r="B1170" t="str">
            <v>Frank Bramwell Legac</v>
          </cell>
        </row>
        <row r="1171">
          <cell r="A1171">
            <v>11171</v>
          </cell>
          <cell r="B1171" t="str">
            <v>Countryside Team</v>
          </cell>
        </row>
        <row r="1172">
          <cell r="A1172">
            <v>11172</v>
          </cell>
          <cell r="B1172" t="str">
            <v>*Tech-Torkington P</v>
          </cell>
        </row>
        <row r="1173">
          <cell r="A1173">
            <v>11173</v>
          </cell>
          <cell r="B1173" t="str">
            <v>*Technical-Vernon P</v>
          </cell>
        </row>
        <row r="1174">
          <cell r="A1174">
            <v>11174</v>
          </cell>
          <cell r="B1174" t="str">
            <v>*Tech-Woodbank Par</v>
          </cell>
        </row>
        <row r="1175">
          <cell r="A1175">
            <v>11175</v>
          </cell>
          <cell r="B1175" t="str">
            <v>*Arb Projects</v>
          </cell>
        </row>
        <row r="1176">
          <cell r="A1176">
            <v>11176</v>
          </cell>
          <cell r="B1176" t="str">
            <v>Area East-Brabyns Pa</v>
          </cell>
        </row>
        <row r="1177">
          <cell r="A1177">
            <v>11177</v>
          </cell>
          <cell r="B1177" t="str">
            <v>*East-Bredbury Park</v>
          </cell>
        </row>
        <row r="1178">
          <cell r="A1178">
            <v>11178</v>
          </cell>
          <cell r="B1178" t="str">
            <v>*East-Brinnington Pa</v>
          </cell>
        </row>
        <row r="1179">
          <cell r="A1179">
            <v>11179</v>
          </cell>
          <cell r="B1179" t="str">
            <v>*East-Heaton Norris</v>
          </cell>
        </row>
        <row r="1180">
          <cell r="A1180">
            <v>11180</v>
          </cell>
          <cell r="B1180" t="str">
            <v>*East-Houldsworth Pa</v>
          </cell>
        </row>
        <row r="1181">
          <cell r="A1181">
            <v>11181</v>
          </cell>
          <cell r="B1181" t="str">
            <v>*East-Marple Os</v>
          </cell>
        </row>
        <row r="1182">
          <cell r="A1182">
            <v>11182</v>
          </cell>
          <cell r="B1182" t="str">
            <v>*East-North Reddish</v>
          </cell>
        </row>
        <row r="1183">
          <cell r="A1183">
            <v>11183</v>
          </cell>
          <cell r="B1183" t="str">
            <v>*East-Reddish V C.Pa</v>
          </cell>
        </row>
        <row r="1184">
          <cell r="A1184">
            <v>11184</v>
          </cell>
          <cell r="B1184" t="str">
            <v>*East-Romiley Rec</v>
          </cell>
        </row>
        <row r="1185">
          <cell r="A1185">
            <v>11185</v>
          </cell>
          <cell r="B1185" t="str">
            <v>*East-South Reddish</v>
          </cell>
        </row>
        <row r="1186">
          <cell r="A1186">
            <v>11186</v>
          </cell>
          <cell r="B1186" t="str">
            <v>*East-St Thomas' Par</v>
          </cell>
        </row>
        <row r="1187">
          <cell r="A1187">
            <v>11187</v>
          </cell>
          <cell r="B1187" t="str">
            <v>*East-Steping Hill O</v>
          </cell>
        </row>
        <row r="1188">
          <cell r="A1188">
            <v>11188</v>
          </cell>
          <cell r="B1188" t="str">
            <v>Gates and Barriers</v>
          </cell>
        </row>
        <row r="1189">
          <cell r="A1189">
            <v>11189</v>
          </cell>
          <cell r="B1189" t="str">
            <v>*East-Werneth Ward O</v>
          </cell>
        </row>
        <row r="1190">
          <cell r="A1190">
            <v>11190</v>
          </cell>
          <cell r="B1190" t="str">
            <v>*East-Woodlands Park</v>
          </cell>
        </row>
        <row r="1191">
          <cell r="A1191">
            <v>11191</v>
          </cell>
          <cell r="B1191" t="str">
            <v>Parks General</v>
          </cell>
        </row>
        <row r="1192">
          <cell r="A1192">
            <v>11192</v>
          </cell>
          <cell r="B1192" t="str">
            <v>*West-Alexandra Par</v>
          </cell>
        </row>
        <row r="1193">
          <cell r="A1193">
            <v>11193</v>
          </cell>
          <cell r="B1193" t="str">
            <v>West-Bramhall O.Spac</v>
          </cell>
        </row>
        <row r="1194">
          <cell r="A1194">
            <v>11194</v>
          </cell>
          <cell r="B1194" t="str">
            <v>*West-Brookfield Par</v>
          </cell>
        </row>
        <row r="1195">
          <cell r="A1195">
            <v>11195</v>
          </cell>
          <cell r="B1195" t="str">
            <v>*West-Cale Green Par</v>
          </cell>
        </row>
        <row r="1196">
          <cell r="A1196">
            <v>11196</v>
          </cell>
          <cell r="B1196" t="str">
            <v>West-Cheadle Rec</v>
          </cell>
        </row>
        <row r="1197">
          <cell r="A1197">
            <v>11197</v>
          </cell>
          <cell r="B1197" t="str">
            <v>*West-Cheadle Os</v>
          </cell>
        </row>
        <row r="1198">
          <cell r="A1198">
            <v>11198</v>
          </cell>
          <cell r="B1198" t="str">
            <v>*West-Crescent Park</v>
          </cell>
        </row>
        <row r="1199">
          <cell r="A1199">
            <v>11199</v>
          </cell>
          <cell r="B1199" t="str">
            <v>*West-East Av Recgro</v>
          </cell>
        </row>
        <row r="1200">
          <cell r="A1200">
            <v>11200</v>
          </cell>
          <cell r="B1200" t="str">
            <v>Hygiene Action</v>
          </cell>
        </row>
        <row r="1201">
          <cell r="A1201">
            <v>11201</v>
          </cell>
          <cell r="B1201" t="str">
            <v>*West-Gatley Rec</v>
          </cell>
        </row>
        <row r="1202">
          <cell r="A1202">
            <v>11202</v>
          </cell>
          <cell r="B1202" t="str">
            <v>*Area West Opperatio</v>
          </cell>
        </row>
        <row r="1203">
          <cell r="A1203">
            <v>11203</v>
          </cell>
          <cell r="B1203" t="str">
            <v>*West-Gorsey Bank Pa</v>
          </cell>
        </row>
        <row r="1204">
          <cell r="A1204">
            <v>11204</v>
          </cell>
          <cell r="B1204" t="str">
            <v>*West-Heathbank Os</v>
          </cell>
        </row>
        <row r="1205">
          <cell r="A1205">
            <v>11205</v>
          </cell>
          <cell r="B1205" t="str">
            <v>*West-Heaton M Par</v>
          </cell>
        </row>
        <row r="1206">
          <cell r="A1206">
            <v>11206</v>
          </cell>
          <cell r="B1206" t="str">
            <v>*West-Heaton Moor P</v>
          </cell>
        </row>
        <row r="1207">
          <cell r="A1207">
            <v>11207</v>
          </cell>
          <cell r="B1207" t="str">
            <v>*West-Hollywood Pk</v>
          </cell>
        </row>
        <row r="1208">
          <cell r="A1208">
            <v>11208</v>
          </cell>
          <cell r="B1208" t="str">
            <v>*West-Shaw Heath Re</v>
          </cell>
        </row>
        <row r="1209">
          <cell r="A1209">
            <v>11209</v>
          </cell>
          <cell r="B1209" t="str">
            <v>*West-Thornfield Par</v>
          </cell>
        </row>
        <row r="1210">
          <cell r="A1210">
            <v>11210</v>
          </cell>
          <cell r="B1210" t="str">
            <v>*West-W.Scholes Fiel</v>
          </cell>
        </row>
        <row r="1211">
          <cell r="A1211">
            <v>11211</v>
          </cell>
          <cell r="B1211" t="str">
            <v>*West-Woodford Rec</v>
          </cell>
        </row>
        <row r="1212">
          <cell r="A1212">
            <v>11212</v>
          </cell>
          <cell r="B1212" t="str">
            <v>*Land Proj-Abc Partn</v>
          </cell>
        </row>
        <row r="1213">
          <cell r="A1213">
            <v>11213</v>
          </cell>
          <cell r="B1213" t="str">
            <v>*Land Proj-Adswood S</v>
          </cell>
        </row>
        <row r="1214">
          <cell r="A1214">
            <v>11214</v>
          </cell>
          <cell r="B1214" t="str">
            <v>*Land Proj-Adswood P</v>
          </cell>
        </row>
        <row r="1215">
          <cell r="A1215">
            <v>11215</v>
          </cell>
          <cell r="B1215" t="str">
            <v>*Land Proj-Alex' Par</v>
          </cell>
        </row>
        <row r="1216">
          <cell r="A1216">
            <v>11216</v>
          </cell>
          <cell r="B1216" t="str">
            <v>*Bolshaw Primary Sch</v>
          </cell>
        </row>
        <row r="1217">
          <cell r="A1217">
            <v>11217</v>
          </cell>
          <cell r="B1217" t="str">
            <v>*Iron Bridge-Brabyn</v>
          </cell>
        </row>
        <row r="1218">
          <cell r="A1218">
            <v>11218</v>
          </cell>
          <cell r="B1218" t="str">
            <v>*Land Proj-Bramhall</v>
          </cell>
        </row>
        <row r="1219">
          <cell r="A1219">
            <v>11219</v>
          </cell>
          <cell r="B1219" t="str">
            <v>*Land Proj-Pond Clus</v>
          </cell>
        </row>
        <row r="1220">
          <cell r="A1220">
            <v>11220</v>
          </cell>
          <cell r="B1220" t="str">
            <v>*Land Proj-Bredbury</v>
          </cell>
        </row>
        <row r="1221">
          <cell r="A1221">
            <v>11221</v>
          </cell>
          <cell r="B1221" t="str">
            <v>*Land Proj-Bridge Ha</v>
          </cell>
        </row>
        <row r="1222">
          <cell r="A1222">
            <v>11222</v>
          </cell>
          <cell r="B1222" t="str">
            <v>*Land Proj-Brinn Ima</v>
          </cell>
        </row>
        <row r="1223">
          <cell r="A1223">
            <v>11223</v>
          </cell>
          <cell r="B1223" t="str">
            <v>*Land Proj-Brinn Par</v>
          </cell>
        </row>
        <row r="1224">
          <cell r="A1224">
            <v>11224</v>
          </cell>
          <cell r="B1224" t="str">
            <v>*Land Proj-Chadkirk</v>
          </cell>
        </row>
        <row r="1225">
          <cell r="A1225">
            <v>11225</v>
          </cell>
          <cell r="B1225" t="str">
            <v>Land Proj-Chadkirk</v>
          </cell>
        </row>
        <row r="1226">
          <cell r="A1226">
            <v>11226</v>
          </cell>
          <cell r="B1226" t="str">
            <v>*Land Proj-Mersey Va</v>
          </cell>
        </row>
        <row r="1227">
          <cell r="A1227">
            <v>11227</v>
          </cell>
          <cell r="B1227" t="str">
            <v>*Etherow C.Park -Bir</v>
          </cell>
        </row>
        <row r="1228">
          <cell r="A1228">
            <v>11228</v>
          </cell>
          <cell r="B1228" t="str">
            <v>*Land Proj-Gatley Re</v>
          </cell>
        </row>
        <row r="1229">
          <cell r="A1229">
            <v>11229</v>
          </cell>
          <cell r="B1229" t="str">
            <v>*Land Proj-Gatley Sk</v>
          </cell>
        </row>
        <row r="1230">
          <cell r="A1230">
            <v>11230</v>
          </cell>
          <cell r="B1230" t="str">
            <v>Landscape Projects</v>
          </cell>
        </row>
        <row r="1231">
          <cell r="A1231">
            <v>11231</v>
          </cell>
          <cell r="B1231" t="str">
            <v>*Land Proj-Heaton M</v>
          </cell>
        </row>
        <row r="1232">
          <cell r="A1232">
            <v>11232</v>
          </cell>
          <cell r="B1232" t="str">
            <v>*Land Proj-Hollywoo</v>
          </cell>
        </row>
        <row r="1233">
          <cell r="A1233">
            <v>11233</v>
          </cell>
          <cell r="B1233" t="str">
            <v>*Land Proj-Footpath</v>
          </cell>
        </row>
        <row r="1234">
          <cell r="A1234">
            <v>11234</v>
          </cell>
          <cell r="B1234" t="str">
            <v>*Land Proj-Lapwing C</v>
          </cell>
        </row>
        <row r="1235">
          <cell r="A1235">
            <v>11235</v>
          </cell>
          <cell r="B1235" t="str">
            <v>*Land Proj-Lisburne</v>
          </cell>
        </row>
        <row r="1236">
          <cell r="A1236">
            <v>11236</v>
          </cell>
          <cell r="B1236" t="str">
            <v>*Land Proj-Lorne Gro</v>
          </cell>
        </row>
        <row r="1237">
          <cell r="A1237">
            <v>11237</v>
          </cell>
          <cell r="B1237" t="str">
            <v>*Land Proj-Pitch Dra</v>
          </cell>
        </row>
        <row r="1238">
          <cell r="A1238">
            <v>11238</v>
          </cell>
          <cell r="B1238" t="str">
            <v>*Land Proj-Lumb Lan</v>
          </cell>
        </row>
        <row r="1239">
          <cell r="A1239">
            <v>11239</v>
          </cell>
          <cell r="B1239" t="str">
            <v>*Manchester Road</v>
          </cell>
        </row>
        <row r="1240">
          <cell r="A1240">
            <v>11240</v>
          </cell>
          <cell r="B1240" t="str">
            <v>*Manch Rd &amp;High Lan</v>
          </cell>
        </row>
        <row r="1241">
          <cell r="A1241">
            <v>11241</v>
          </cell>
          <cell r="B1241" t="str">
            <v>*Maple Avenue Park</v>
          </cell>
        </row>
        <row r="1242">
          <cell r="A1242">
            <v>11242</v>
          </cell>
          <cell r="B1242" t="str">
            <v>*Land Proj-Mount Dr</v>
          </cell>
        </row>
        <row r="1243">
          <cell r="A1243">
            <v>11243</v>
          </cell>
          <cell r="B1243" t="str">
            <v>*Land Proj-Oak Meado</v>
          </cell>
        </row>
        <row r="1244">
          <cell r="A1244">
            <v>11244</v>
          </cell>
          <cell r="B1244" t="str">
            <v>*Land Proj-Oak Med P</v>
          </cell>
        </row>
        <row r="1245">
          <cell r="A1245">
            <v>11245</v>
          </cell>
          <cell r="B1245" t="str">
            <v>*Land Proj-Teen She</v>
          </cell>
        </row>
        <row r="1246">
          <cell r="A1246">
            <v>11246</v>
          </cell>
          <cell r="B1246" t="str">
            <v>*Land Proj-Overdale</v>
          </cell>
        </row>
        <row r="1247">
          <cell r="A1247">
            <v>11247</v>
          </cell>
          <cell r="B1247" t="str">
            <v>*Land Proj-Penny Lan</v>
          </cell>
        </row>
        <row r="1248">
          <cell r="A1248">
            <v>11248</v>
          </cell>
          <cell r="B1248" t="str">
            <v>*Land Proj-Riverside</v>
          </cell>
        </row>
        <row r="1249">
          <cell r="A1249">
            <v>11249</v>
          </cell>
          <cell r="B1249" t="str">
            <v>*Land Proj-Safer Sto</v>
          </cell>
        </row>
        <row r="1250">
          <cell r="A1250">
            <v>11250</v>
          </cell>
          <cell r="B1250" t="str">
            <v>*Land Proj-Shaw.H P</v>
          </cell>
        </row>
        <row r="1251">
          <cell r="A1251">
            <v>11251</v>
          </cell>
          <cell r="B1251" t="str">
            <v>*Land Proj-Cycleway</v>
          </cell>
        </row>
        <row r="1252">
          <cell r="A1252">
            <v>11252</v>
          </cell>
          <cell r="B1252" t="str">
            <v>*Land Proj-Amphibian</v>
          </cell>
        </row>
        <row r="1253">
          <cell r="A1253">
            <v>11253</v>
          </cell>
          <cell r="B1253" t="str">
            <v>*Land Proj-Fpth Pois</v>
          </cell>
        </row>
        <row r="1254">
          <cell r="A1254">
            <v>11254</v>
          </cell>
          <cell r="B1254" t="str">
            <v>*Land Proj-St John'S</v>
          </cell>
        </row>
        <row r="1255">
          <cell r="A1255">
            <v>11255</v>
          </cell>
          <cell r="B1255" t="str">
            <v>*Land Proj-St Peter'</v>
          </cell>
        </row>
        <row r="1256">
          <cell r="A1256">
            <v>11256</v>
          </cell>
          <cell r="B1256" t="str">
            <v>*Land Proj-Thorn Gr</v>
          </cell>
        </row>
        <row r="1257">
          <cell r="A1257">
            <v>11257</v>
          </cell>
          <cell r="B1257" t="str">
            <v>*Land Proj-Thorn Gr</v>
          </cell>
        </row>
        <row r="1258">
          <cell r="A1258">
            <v>11258</v>
          </cell>
          <cell r="B1258" t="str">
            <v>CYPD works</v>
          </cell>
        </row>
        <row r="1259">
          <cell r="A1259">
            <v>11259</v>
          </cell>
          <cell r="B1259" t="str">
            <v>*Land Proj-Tork Pk P</v>
          </cell>
        </row>
        <row r="1260">
          <cell r="A1260">
            <v>11260</v>
          </cell>
          <cell r="B1260" t="str">
            <v>*Land Proj-Valley Sp</v>
          </cell>
        </row>
        <row r="1261">
          <cell r="A1261">
            <v>11261</v>
          </cell>
          <cell r="B1261" t="str">
            <v>*Land Proj-Woodbank</v>
          </cell>
        </row>
        <row r="1262">
          <cell r="A1262">
            <v>11262</v>
          </cell>
          <cell r="B1262" t="str">
            <v>*North Reddish Park</v>
          </cell>
        </row>
        <row r="1263">
          <cell r="A1263">
            <v>11263</v>
          </cell>
          <cell r="B1263" t="str">
            <v>*Land Proj-Harriers</v>
          </cell>
        </row>
        <row r="1264">
          <cell r="A1264">
            <v>11264</v>
          </cell>
          <cell r="B1264" t="str">
            <v>*Land Proj-Play Wood</v>
          </cell>
        </row>
        <row r="1265">
          <cell r="A1265">
            <v>11265</v>
          </cell>
          <cell r="B1265" t="str">
            <v>*Land Proj-Pond Wood</v>
          </cell>
        </row>
        <row r="1266">
          <cell r="A1266">
            <v>11266</v>
          </cell>
          <cell r="B1266" t="str">
            <v>*Land Proj-Teen Seat</v>
          </cell>
        </row>
        <row r="1267">
          <cell r="A1267">
            <v>11267</v>
          </cell>
          <cell r="B1267" t="str">
            <v>Play</v>
          </cell>
        </row>
        <row r="1268">
          <cell r="A1268">
            <v>11268</v>
          </cell>
          <cell r="B1268" t="str">
            <v>Special Project 2</v>
          </cell>
        </row>
        <row r="1269">
          <cell r="A1269">
            <v>11269</v>
          </cell>
          <cell r="B1269" t="str">
            <v>Special Project 3</v>
          </cell>
        </row>
        <row r="1270">
          <cell r="A1270">
            <v>11270</v>
          </cell>
          <cell r="B1270" t="str">
            <v>Special Project 4</v>
          </cell>
        </row>
        <row r="1271">
          <cell r="A1271">
            <v>11271</v>
          </cell>
          <cell r="B1271" t="str">
            <v>Special Project 5</v>
          </cell>
        </row>
        <row r="1272">
          <cell r="A1272">
            <v>11272</v>
          </cell>
          <cell r="B1272" t="str">
            <v>Special Project 6</v>
          </cell>
        </row>
        <row r="1273">
          <cell r="A1273">
            <v>11273</v>
          </cell>
          <cell r="B1273" t="str">
            <v>Special Project 7</v>
          </cell>
        </row>
        <row r="1274">
          <cell r="A1274">
            <v>11274</v>
          </cell>
          <cell r="B1274" t="str">
            <v>Special Project 8</v>
          </cell>
        </row>
        <row r="1275">
          <cell r="A1275">
            <v>11275</v>
          </cell>
          <cell r="B1275" t="str">
            <v>Special Project 9</v>
          </cell>
        </row>
        <row r="1276">
          <cell r="A1276">
            <v>11276</v>
          </cell>
          <cell r="B1276" t="str">
            <v>Special Project 10</v>
          </cell>
        </row>
        <row r="1277">
          <cell r="A1277">
            <v>11277</v>
          </cell>
          <cell r="B1277" t="str">
            <v>Special Project 11</v>
          </cell>
        </row>
        <row r="1278">
          <cell r="A1278">
            <v>11278</v>
          </cell>
          <cell r="B1278" t="str">
            <v>Special Project 12</v>
          </cell>
        </row>
        <row r="1279">
          <cell r="A1279">
            <v>11279</v>
          </cell>
          <cell r="B1279" t="str">
            <v>Memorial Benches</v>
          </cell>
        </row>
        <row r="1280">
          <cell r="A1280">
            <v>11280</v>
          </cell>
          <cell r="B1280" t="str">
            <v>Land Dev-Werneth Os</v>
          </cell>
        </row>
        <row r="1281">
          <cell r="A1281">
            <v>11281</v>
          </cell>
          <cell r="B1281" t="str">
            <v>Nature-Arboriculture</v>
          </cell>
        </row>
        <row r="1282">
          <cell r="A1282">
            <v>11282</v>
          </cell>
          <cell r="B1282" t="str">
            <v>Highfield Cemetery</v>
          </cell>
        </row>
        <row r="1283">
          <cell r="A1283">
            <v>11283</v>
          </cell>
          <cell r="B1283" t="str">
            <v>Cheadle Cemetery</v>
          </cell>
        </row>
        <row r="1284">
          <cell r="A1284">
            <v>11284</v>
          </cell>
          <cell r="B1284" t="str">
            <v>Cheadle Jewish Cem</v>
          </cell>
        </row>
        <row r="1285">
          <cell r="A1285">
            <v>11285</v>
          </cell>
          <cell r="B1285" t="str">
            <v>Berevement Services</v>
          </cell>
        </row>
        <row r="1286">
          <cell r="A1286">
            <v>11286</v>
          </cell>
          <cell r="B1286" t="str">
            <v>Headstone Testing</v>
          </cell>
        </row>
        <row r="1287">
          <cell r="A1287">
            <v>11287</v>
          </cell>
          <cell r="B1287" t="str">
            <v>Mill Lane Cemetery</v>
          </cell>
        </row>
        <row r="1288">
          <cell r="A1288">
            <v>11288</v>
          </cell>
          <cell r="B1288" t="str">
            <v>Stockport Borough Ce</v>
          </cell>
        </row>
        <row r="1289">
          <cell r="A1289">
            <v>11289</v>
          </cell>
          <cell r="B1289" t="str">
            <v>Stockport Borough Cr</v>
          </cell>
        </row>
        <row r="1290">
          <cell r="A1290">
            <v>11290</v>
          </cell>
          <cell r="B1290" t="str">
            <v>Willow Grove Cemeter</v>
          </cell>
        </row>
        <row r="1291">
          <cell r="A1291">
            <v>11291</v>
          </cell>
          <cell r="B1291" t="str">
            <v>*CCTV Man &amp; Support</v>
          </cell>
        </row>
        <row r="1292">
          <cell r="A1292">
            <v>11292</v>
          </cell>
          <cell r="B1292" t="str">
            <v>Grave Diggers</v>
          </cell>
        </row>
        <row r="1293">
          <cell r="A1293">
            <v>11293</v>
          </cell>
          <cell r="B1293" t="str">
            <v>Town Hall Operations</v>
          </cell>
        </row>
        <row r="1294">
          <cell r="A1294">
            <v>11294</v>
          </cell>
          <cell r="B1294" t="str">
            <v>Sports Trust</v>
          </cell>
        </row>
        <row r="1295">
          <cell r="A1295">
            <v>11295</v>
          </cell>
          <cell r="B1295" t="str">
            <v>Registrars B, D &amp; M</v>
          </cell>
        </row>
        <row r="1296">
          <cell r="A1296">
            <v>11296</v>
          </cell>
          <cell r="B1296" t="str">
            <v>Management-Brabyns P</v>
          </cell>
        </row>
        <row r="1297">
          <cell r="A1297">
            <v>11297</v>
          </cell>
          <cell r="B1297" t="str">
            <v>*Leisure-Athletics</v>
          </cell>
        </row>
        <row r="1298">
          <cell r="A1298">
            <v>11298</v>
          </cell>
          <cell r="B1298" t="str">
            <v>*Leisure-Op Sport De</v>
          </cell>
        </row>
        <row r="1299">
          <cell r="A1299">
            <v>11299</v>
          </cell>
          <cell r="B1299" t="str">
            <v>*Leisure-Young Offen</v>
          </cell>
        </row>
        <row r="1300">
          <cell r="A1300">
            <v>11300</v>
          </cell>
          <cell r="B1300" t="str">
            <v>*Leisure-Child Fund</v>
          </cell>
        </row>
        <row r="1301">
          <cell r="A1301">
            <v>11301</v>
          </cell>
          <cell r="B1301" t="str">
            <v>*Leisure-Equity</v>
          </cell>
        </row>
        <row r="1302">
          <cell r="A1302">
            <v>11302</v>
          </cell>
          <cell r="B1302" t="str">
            <v>*Leisure-Transport</v>
          </cell>
        </row>
        <row r="1303">
          <cell r="A1303">
            <v>11303</v>
          </cell>
          <cell r="B1303" t="str">
            <v>*Special Projects</v>
          </cell>
        </row>
        <row r="1304">
          <cell r="A1304">
            <v>11304</v>
          </cell>
          <cell r="B1304" t="str">
            <v>*Community Leisure</v>
          </cell>
        </row>
        <row r="1305">
          <cell r="A1305">
            <v>11305</v>
          </cell>
          <cell r="B1305" t="str">
            <v>*Community Sports Gr</v>
          </cell>
        </row>
        <row r="1306">
          <cell r="A1306">
            <v>11306</v>
          </cell>
          <cell r="B1306" t="str">
            <v>Sport Dev-Mgt &amp;Admin</v>
          </cell>
        </row>
        <row r="1307">
          <cell r="A1307">
            <v>11307</v>
          </cell>
          <cell r="B1307" t="str">
            <v>*Community Coaches</v>
          </cell>
        </row>
        <row r="1308">
          <cell r="A1308">
            <v>11308</v>
          </cell>
          <cell r="B1308" t="str">
            <v>*Outdoor sports dev</v>
          </cell>
        </row>
        <row r="1309">
          <cell r="A1309">
            <v>11309</v>
          </cell>
          <cell r="B1309" t="str">
            <v>Sports Client</v>
          </cell>
        </row>
        <row r="1310">
          <cell r="A1310">
            <v>11310</v>
          </cell>
          <cell r="B1310" t="str">
            <v>*Exercise (X36305)</v>
          </cell>
        </row>
        <row r="1311">
          <cell r="A1311">
            <v>11311</v>
          </cell>
          <cell r="B1311" t="str">
            <v>*Get Going Bus (X363</v>
          </cell>
        </row>
        <row r="1312">
          <cell r="A1312">
            <v>11312</v>
          </cell>
          <cell r="B1312" t="str">
            <v>*Youth Games Gm</v>
          </cell>
        </row>
        <row r="1313">
          <cell r="A1313">
            <v>11313</v>
          </cell>
          <cell r="B1313" t="str">
            <v>*Grand Central</v>
          </cell>
        </row>
        <row r="1314">
          <cell r="A1314">
            <v>11314</v>
          </cell>
          <cell r="B1314" t="str">
            <v>Houldsworth Village</v>
          </cell>
        </row>
        <row r="1315">
          <cell r="A1315">
            <v>11315</v>
          </cell>
          <cell r="B1315" t="str">
            <v>CSS Leisure Key</v>
          </cell>
        </row>
        <row r="1316">
          <cell r="A1316">
            <v>11316</v>
          </cell>
          <cell r="B1316" t="str">
            <v>*BSBL Project</v>
          </cell>
        </row>
        <row r="1317">
          <cell r="A1317">
            <v>11317</v>
          </cell>
          <cell r="B1317" t="str">
            <v>*Cty Devt Grants</v>
          </cell>
        </row>
        <row r="1318">
          <cell r="A1318">
            <v>11318</v>
          </cell>
          <cell r="B1318" t="str">
            <v>*Pol &amp; Per Child Fun</v>
          </cell>
        </row>
        <row r="1319">
          <cell r="A1319">
            <v>11319</v>
          </cell>
          <cell r="B1319" t="str">
            <v>*Policy &amp;Intelligenc</v>
          </cell>
        </row>
        <row r="1320">
          <cell r="A1320">
            <v>11320</v>
          </cell>
          <cell r="B1320" t="str">
            <v>*Welfare Rights H&amp;Sc</v>
          </cell>
        </row>
        <row r="1321">
          <cell r="A1321">
            <v>11321</v>
          </cell>
          <cell r="B1321" t="str">
            <v>*IT Utilities</v>
          </cell>
        </row>
        <row r="1322">
          <cell r="A1322">
            <v>11322</v>
          </cell>
          <cell r="B1322" t="str">
            <v>Benefit &amp; Debt Advce</v>
          </cell>
        </row>
        <row r="1323">
          <cell r="A1323">
            <v>11323</v>
          </cell>
          <cell r="B1323" t="str">
            <v>POD Communications</v>
          </cell>
        </row>
        <row r="1324">
          <cell r="A1324">
            <v>11324</v>
          </cell>
          <cell r="B1324" t="str">
            <v>IT Infrastructure</v>
          </cell>
        </row>
        <row r="1325">
          <cell r="A1325">
            <v>11325</v>
          </cell>
          <cell r="B1325" t="str">
            <v>*W Rights Mh Office</v>
          </cell>
        </row>
        <row r="1326">
          <cell r="A1326">
            <v>11326</v>
          </cell>
          <cell r="B1326" t="str">
            <v>*Welfare Rights</v>
          </cell>
        </row>
        <row r="1327">
          <cell r="A1327">
            <v>11327</v>
          </cell>
          <cell r="B1327" t="str">
            <v>*Stockport Adv. Core</v>
          </cell>
        </row>
        <row r="1328">
          <cell r="A1328">
            <v>11328</v>
          </cell>
          <cell r="B1328" t="str">
            <v>Library Dev &amp; Res</v>
          </cell>
        </row>
        <row r="1329">
          <cell r="A1329">
            <v>11329</v>
          </cell>
          <cell r="B1329" t="str">
            <v>Public Libraries Gen</v>
          </cell>
        </row>
        <row r="1330">
          <cell r="A1330">
            <v>11330</v>
          </cell>
          <cell r="B1330" t="str">
            <v>Libraries Management</v>
          </cell>
        </row>
        <row r="1331">
          <cell r="A1331">
            <v>11331</v>
          </cell>
          <cell r="B1331" t="str">
            <v>*Library Operations</v>
          </cell>
        </row>
        <row r="1332">
          <cell r="A1332">
            <v>11332</v>
          </cell>
          <cell r="B1332" t="str">
            <v>*The Study Lounge F</v>
          </cell>
        </row>
        <row r="1333">
          <cell r="A1333">
            <v>11333</v>
          </cell>
          <cell r="B1333" t="str">
            <v>*Library Supp/Learnr</v>
          </cell>
        </row>
        <row r="1334">
          <cell r="A1334">
            <v>11334</v>
          </cell>
          <cell r="B1334" t="str">
            <v>*School Library Svce</v>
          </cell>
        </row>
        <row r="1335">
          <cell r="A1335">
            <v>11335</v>
          </cell>
          <cell r="B1335" t="str">
            <v>*Bookstart</v>
          </cell>
        </row>
        <row r="1336">
          <cell r="A1336">
            <v>11336</v>
          </cell>
          <cell r="B1336" t="str">
            <v>*Sc. Lby Surestart</v>
          </cell>
        </row>
        <row r="1337">
          <cell r="A1337">
            <v>11337</v>
          </cell>
          <cell r="B1337" t="str">
            <v>*Advice &amp; Informatio</v>
          </cell>
        </row>
        <row r="1338">
          <cell r="A1338">
            <v>11338</v>
          </cell>
          <cell r="B1338" t="str">
            <v>IT Traded (TLC)</v>
          </cell>
        </row>
        <row r="1339">
          <cell r="A1339">
            <v>11339</v>
          </cell>
          <cell r="B1339" t="str">
            <v>*Neighbourhood Range</v>
          </cell>
        </row>
        <row r="1340">
          <cell r="A1340">
            <v>11340</v>
          </cell>
          <cell r="B1340" t="str">
            <v>*CYP Stockport Famil</v>
          </cell>
        </row>
        <row r="1341">
          <cell r="A1341">
            <v>11341</v>
          </cell>
          <cell r="B1341" t="str">
            <v>*Rngrs S/Crime (H&amp;R)</v>
          </cell>
        </row>
        <row r="1342">
          <cell r="A1342">
            <v>11342</v>
          </cell>
          <cell r="B1342" t="str">
            <v>Hatworks</v>
          </cell>
        </row>
        <row r="1343">
          <cell r="A1343">
            <v>11343</v>
          </cell>
          <cell r="B1343" t="str">
            <v>Staircase House</v>
          </cell>
        </row>
        <row r="1344">
          <cell r="A1344">
            <v>11344</v>
          </cell>
          <cell r="B1344" t="str">
            <v>*Torkington Running</v>
          </cell>
        </row>
        <row r="1345">
          <cell r="A1345">
            <v>11345</v>
          </cell>
          <cell r="B1345" t="str">
            <v>*NM Offerton</v>
          </cell>
        </row>
        <row r="1346">
          <cell r="A1346">
            <v>11346</v>
          </cell>
          <cell r="B1346" t="str">
            <v>*NM Admin</v>
          </cell>
        </row>
        <row r="1347">
          <cell r="A1347">
            <v>11347</v>
          </cell>
          <cell r="B1347" t="str">
            <v>*Museums Admin</v>
          </cell>
        </row>
        <row r="1348">
          <cell r="A1348">
            <v>11348</v>
          </cell>
          <cell r="B1348" t="str">
            <v>*Curatorial - Store</v>
          </cell>
        </row>
        <row r="1349">
          <cell r="A1349">
            <v>11349</v>
          </cell>
          <cell r="B1349" t="str">
            <v>Curatorial Support</v>
          </cell>
        </row>
        <row r="1350">
          <cell r="A1350">
            <v>11350</v>
          </cell>
          <cell r="B1350" t="str">
            <v>*Curtorial Design</v>
          </cell>
        </row>
        <row r="1351">
          <cell r="A1351">
            <v>11351</v>
          </cell>
          <cell r="B1351" t="str">
            <v>*Curatorial - Design</v>
          </cell>
        </row>
        <row r="1352">
          <cell r="A1352">
            <v>11352</v>
          </cell>
          <cell r="B1352" t="str">
            <v>*Curatorial Special</v>
          </cell>
        </row>
        <row r="1353">
          <cell r="A1353">
            <v>11353</v>
          </cell>
          <cell r="B1353" t="str">
            <v>*Curtorial-Stewardsh</v>
          </cell>
        </row>
        <row r="1354">
          <cell r="A1354">
            <v>11354</v>
          </cell>
          <cell r="B1354" t="str">
            <v>*Curatorial-Technica</v>
          </cell>
        </row>
        <row r="1355">
          <cell r="A1355">
            <v>11355</v>
          </cell>
          <cell r="B1355" t="str">
            <v>*Curatorial Technica</v>
          </cell>
        </row>
        <row r="1356">
          <cell r="A1356">
            <v>11356</v>
          </cell>
          <cell r="B1356" t="str">
            <v>*Audience Developmen</v>
          </cell>
        </row>
        <row r="1357">
          <cell r="A1357">
            <v>11357</v>
          </cell>
          <cell r="B1357" t="str">
            <v>*Museums Ed &amp; Learni</v>
          </cell>
        </row>
        <row r="1358">
          <cell r="A1358">
            <v>11358</v>
          </cell>
          <cell r="B1358" t="str">
            <v>*Ed &amp; Lear-Bramall H</v>
          </cell>
        </row>
        <row r="1359">
          <cell r="A1359">
            <v>11359</v>
          </cell>
          <cell r="B1359" t="str">
            <v>*Museums Ed &amp; Learni</v>
          </cell>
        </row>
        <row r="1360">
          <cell r="A1360">
            <v>11360</v>
          </cell>
          <cell r="B1360" t="str">
            <v>*Museums Ed &amp; Learni</v>
          </cell>
        </row>
        <row r="1361">
          <cell r="A1361">
            <v>11361</v>
          </cell>
          <cell r="B1361" t="str">
            <v>U Community Services</v>
          </cell>
        </row>
        <row r="1362">
          <cell r="A1362">
            <v>11362</v>
          </cell>
          <cell r="B1362" t="str">
            <v>*Museums Ed &amp; Learni</v>
          </cell>
        </row>
        <row r="1363">
          <cell r="A1363">
            <v>11363</v>
          </cell>
          <cell r="B1363" t="str">
            <v>*Ed &amp; Learn-Hatwork</v>
          </cell>
        </row>
        <row r="1364">
          <cell r="A1364">
            <v>11364</v>
          </cell>
          <cell r="B1364" t="str">
            <v>*Hidden Talents Lott</v>
          </cell>
        </row>
        <row r="1365">
          <cell r="A1365">
            <v>11365</v>
          </cell>
          <cell r="B1365" t="str">
            <v>*Heritage-Staircase</v>
          </cell>
        </row>
        <row r="1366">
          <cell r="A1366">
            <v>11366</v>
          </cell>
          <cell r="B1366" t="str">
            <v>*Community-Training</v>
          </cell>
        </row>
        <row r="1367">
          <cell r="A1367">
            <v>11367</v>
          </cell>
          <cell r="B1367" t="str">
            <v>*Ed &amp; Learn-Stairc H</v>
          </cell>
        </row>
        <row r="1368">
          <cell r="A1368">
            <v>11368</v>
          </cell>
          <cell r="B1368" t="str">
            <v>*Ed &amp; Learn-Air Raid</v>
          </cell>
        </row>
        <row r="1369">
          <cell r="A1369">
            <v>11369</v>
          </cell>
          <cell r="B1369" t="str">
            <v>Bramall Hall</v>
          </cell>
        </row>
        <row r="1370">
          <cell r="A1370">
            <v>11370</v>
          </cell>
          <cell r="B1370" t="str">
            <v>*Bramhall Hall - Caf</v>
          </cell>
        </row>
        <row r="1371">
          <cell r="A1371">
            <v>11371</v>
          </cell>
          <cell r="B1371" t="str">
            <v>Air Raid Shelters</v>
          </cell>
        </row>
        <row r="1372">
          <cell r="A1372">
            <v>11372</v>
          </cell>
          <cell r="B1372" t="str">
            <v>Chadkirk Chapel</v>
          </cell>
        </row>
        <row r="1373">
          <cell r="A1373">
            <v>11373</v>
          </cell>
          <cell r="B1373" t="str">
            <v>*Vernon Park Museum</v>
          </cell>
        </row>
        <row r="1374">
          <cell r="A1374">
            <v>11374</v>
          </cell>
          <cell r="B1374" t="str">
            <v>*NNW-CLG GRANT</v>
          </cell>
        </row>
        <row r="1375">
          <cell r="A1375">
            <v>11375</v>
          </cell>
          <cell r="B1375" t="str">
            <v>Town Hall Events</v>
          </cell>
        </row>
        <row r="1376">
          <cell r="A1376">
            <v>11376</v>
          </cell>
          <cell r="B1376" t="str">
            <v>*Sto Art Gallery-Edu</v>
          </cell>
        </row>
        <row r="1377">
          <cell r="A1377">
            <v>11377</v>
          </cell>
          <cell r="B1377" t="str">
            <v>*Sto Art Gall-Artlin</v>
          </cell>
        </row>
        <row r="1378">
          <cell r="A1378">
            <v>11378</v>
          </cell>
          <cell r="B1378" t="str">
            <v>StockportArt Gallery</v>
          </cell>
        </row>
        <row r="1379">
          <cell r="A1379">
            <v>11379</v>
          </cell>
          <cell r="B1379" t="str">
            <v>U-Lyme Park &amp; Hall</v>
          </cell>
        </row>
        <row r="1380">
          <cell r="A1380">
            <v>11380</v>
          </cell>
          <cell r="B1380" t="str">
            <v>*Romiley Forum</v>
          </cell>
        </row>
        <row r="1381">
          <cell r="A1381">
            <v>11381</v>
          </cell>
          <cell r="B1381" t="str">
            <v>IT MFD</v>
          </cell>
        </row>
        <row r="1382">
          <cell r="A1382">
            <v>11382</v>
          </cell>
          <cell r="B1382" t="str">
            <v>*Jnr Yth Inc Prog(Mh</v>
          </cell>
        </row>
        <row r="1383">
          <cell r="A1383">
            <v>11383</v>
          </cell>
          <cell r="B1383" t="str">
            <v>*Arts-Adswood &amp; B</v>
          </cell>
        </row>
        <row r="1384">
          <cell r="A1384">
            <v>11384</v>
          </cell>
          <cell r="B1384" t="str">
            <v>Arts Development</v>
          </cell>
        </row>
        <row r="1385">
          <cell r="A1385">
            <v>11385</v>
          </cell>
          <cell r="B1385" t="str">
            <v>*Arts Dev-Brinn AW</v>
          </cell>
        </row>
        <row r="1386">
          <cell r="A1386">
            <v>11386</v>
          </cell>
          <cell r="B1386" t="str">
            <v>Culture &amp; Leisure Mg</v>
          </cell>
        </row>
        <row r="1387">
          <cell r="A1387">
            <v>11387</v>
          </cell>
          <cell r="B1387" t="str">
            <v>*Childn'S Fund Worke</v>
          </cell>
        </row>
        <row r="1388">
          <cell r="A1388">
            <v>11388</v>
          </cell>
          <cell r="B1388" t="str">
            <v>*Crwkr'S: Cty Devt</v>
          </cell>
        </row>
        <row r="1389">
          <cell r="A1389">
            <v>11389</v>
          </cell>
          <cell r="B1389" t="str">
            <v>Adswood Commty Centr</v>
          </cell>
        </row>
        <row r="1390">
          <cell r="A1390">
            <v>11390</v>
          </cell>
          <cell r="B1390" t="str">
            <v>Bred Green Comm Ctre</v>
          </cell>
        </row>
        <row r="1391">
          <cell r="A1391">
            <v>11391</v>
          </cell>
          <cell r="B1391" t="str">
            <v>*Bridgehall Com Cent</v>
          </cell>
        </row>
        <row r="1392">
          <cell r="A1392">
            <v>11392</v>
          </cell>
          <cell r="B1392" t="str">
            <v>Community Buildings</v>
          </cell>
        </row>
        <row r="1393">
          <cell r="A1393">
            <v>11393</v>
          </cell>
          <cell r="B1393" t="str">
            <v>Cheadle Village Hall</v>
          </cell>
        </row>
        <row r="1394">
          <cell r="A1394">
            <v>11394</v>
          </cell>
          <cell r="B1394" t="str">
            <v>C Heath Comm Centre</v>
          </cell>
        </row>
        <row r="1395">
          <cell r="A1395">
            <v>11395</v>
          </cell>
          <cell r="B1395" t="str">
            <v>*Compstall Athenaeu</v>
          </cell>
        </row>
        <row r="1396">
          <cell r="A1396">
            <v>11396</v>
          </cell>
          <cell r="B1396" t="str">
            <v>Gatley Hill House</v>
          </cell>
        </row>
        <row r="1397">
          <cell r="A1397">
            <v>11397</v>
          </cell>
          <cell r="B1397" t="str">
            <v>*Brinnington Com Ctr</v>
          </cell>
        </row>
        <row r="1398">
          <cell r="A1398">
            <v>11398</v>
          </cell>
          <cell r="B1398" t="str">
            <v>Hazel Grove Civic H</v>
          </cell>
        </row>
        <row r="1399">
          <cell r="A1399">
            <v>11399</v>
          </cell>
          <cell r="B1399" t="str">
            <v>Heald Grn Village H</v>
          </cell>
        </row>
        <row r="1400">
          <cell r="A1400">
            <v>11400</v>
          </cell>
          <cell r="B1400" t="str">
            <v>Heaton Chapel Com Ct</v>
          </cell>
        </row>
        <row r="1401">
          <cell r="A1401">
            <v>11401</v>
          </cell>
          <cell r="B1401" t="str">
            <v>Heaton Norris Com Ct</v>
          </cell>
        </row>
        <row r="1402">
          <cell r="A1402">
            <v>11402</v>
          </cell>
          <cell r="B1402" t="str">
            <v>Lanc Hill Com Centre</v>
          </cell>
        </row>
        <row r="1403">
          <cell r="A1403">
            <v>11403</v>
          </cell>
          <cell r="B1403" t="str">
            <v>N Reddish Com Centre</v>
          </cell>
        </row>
        <row r="1404">
          <cell r="A1404">
            <v>11404</v>
          </cell>
          <cell r="B1404" t="str">
            <v>Reddish Com Centre</v>
          </cell>
        </row>
        <row r="1405">
          <cell r="A1405">
            <v>11405</v>
          </cell>
          <cell r="B1405" t="str">
            <v>*S Reddish-Whitehill</v>
          </cell>
        </row>
        <row r="1406">
          <cell r="A1406">
            <v>11406</v>
          </cell>
          <cell r="B1406" t="str">
            <v>Woodley Civic Hall</v>
          </cell>
        </row>
        <row r="1407">
          <cell r="A1407">
            <v>11407</v>
          </cell>
          <cell r="B1407" t="str">
            <v>*Dialstone Centre</v>
          </cell>
        </row>
        <row r="1408">
          <cell r="A1408">
            <v>11408</v>
          </cell>
          <cell r="B1408" t="str">
            <v>*Tourist Info Centre</v>
          </cell>
        </row>
        <row r="1409">
          <cell r="A1409">
            <v>11409</v>
          </cell>
          <cell r="B1409" t="str">
            <v>*Town Wardens Genera</v>
          </cell>
        </row>
        <row r="1410">
          <cell r="A1410">
            <v>11410</v>
          </cell>
          <cell r="B1410" t="str">
            <v>*Finance &amp; IT</v>
          </cell>
        </row>
        <row r="1411">
          <cell r="A1411">
            <v>11411</v>
          </cell>
          <cell r="B1411" t="str">
            <v>*Ex Cs M.Supp(400.04</v>
          </cell>
        </row>
        <row r="1412">
          <cell r="A1412">
            <v>11412</v>
          </cell>
          <cell r="B1412" t="str">
            <v>Museums Mngmnt &amp; Dev</v>
          </cell>
        </row>
        <row r="1413">
          <cell r="A1413">
            <v>11413</v>
          </cell>
          <cell r="B1413" t="str">
            <v>*Ex Cs Hr&amp;Training</v>
          </cell>
        </row>
        <row r="1414">
          <cell r="A1414">
            <v>11414</v>
          </cell>
          <cell r="B1414" t="str">
            <v>Health Promise Cont</v>
          </cell>
        </row>
        <row r="1415">
          <cell r="A1415">
            <v>11415</v>
          </cell>
          <cell r="B1415" t="str">
            <v>*Minor Let Chdle Ins</v>
          </cell>
        </row>
        <row r="1416">
          <cell r="A1416">
            <v>11416</v>
          </cell>
          <cell r="B1416" t="str">
            <v>*First House</v>
          </cell>
        </row>
        <row r="1417">
          <cell r="A1417">
            <v>11417</v>
          </cell>
          <cell r="B1417" t="str">
            <v>IT AVA Service</v>
          </cell>
        </row>
        <row r="1418">
          <cell r="A1418">
            <v>11418</v>
          </cell>
          <cell r="B1418" t="str">
            <v>IT School</v>
          </cell>
        </row>
        <row r="1419">
          <cell r="A1419">
            <v>11419</v>
          </cell>
          <cell r="B1419" t="str">
            <v>SC - Signpost</v>
          </cell>
        </row>
        <row r="1420">
          <cell r="A1420">
            <v>11420</v>
          </cell>
          <cell r="B1420" t="str">
            <v>*EHP TP Children DA</v>
          </cell>
        </row>
        <row r="1421">
          <cell r="A1421">
            <v>11421</v>
          </cell>
          <cell r="B1421" t="str">
            <v>EHP TP Staffing</v>
          </cell>
        </row>
        <row r="1422">
          <cell r="A1422">
            <v>11422</v>
          </cell>
          <cell r="B1422" t="str">
            <v>SG - Safegrdg in Ed</v>
          </cell>
        </row>
        <row r="1423">
          <cell r="A1423">
            <v>11423</v>
          </cell>
          <cell r="B1423" t="str">
            <v>PTG Children inNeed</v>
          </cell>
        </row>
        <row r="1424">
          <cell r="A1424">
            <v>11424</v>
          </cell>
          <cell r="B1424" t="str">
            <v>SG - Child Prot-Lscb</v>
          </cell>
        </row>
        <row r="1425">
          <cell r="A1425">
            <v>11425</v>
          </cell>
          <cell r="B1425" t="str">
            <v>SG - Child Prot-Safe</v>
          </cell>
        </row>
        <row r="1426">
          <cell r="A1426">
            <v>11426</v>
          </cell>
          <cell r="B1426" t="str">
            <v>*Kooth Project</v>
          </cell>
        </row>
        <row r="1427">
          <cell r="A1427">
            <v>11427</v>
          </cell>
          <cell r="B1427" t="str">
            <v>*Savings-SEN Ind Sch</v>
          </cell>
        </row>
        <row r="1428">
          <cell r="A1428">
            <v>11428</v>
          </cell>
          <cell r="B1428" t="str">
            <v>*MOS - Drug Action T</v>
          </cell>
        </row>
        <row r="1429">
          <cell r="A1429">
            <v>11429</v>
          </cell>
          <cell r="B1429" t="str">
            <v>*MOS - Drug Project</v>
          </cell>
        </row>
        <row r="1430">
          <cell r="A1430">
            <v>11430</v>
          </cell>
          <cell r="B1430" t="str">
            <v>MOS - Mosaic Mngmnt</v>
          </cell>
        </row>
        <row r="1431">
          <cell r="A1431">
            <v>11431</v>
          </cell>
          <cell r="B1431" t="str">
            <v>*SC - Ofsted Priorit</v>
          </cell>
        </row>
        <row r="1432">
          <cell r="A1432">
            <v>11432</v>
          </cell>
          <cell r="B1432" t="str">
            <v>DP -  Aiming High</v>
          </cell>
        </row>
        <row r="1433">
          <cell r="A1433">
            <v>11433</v>
          </cell>
          <cell r="B1433" t="str">
            <v>DP - Direct Payments</v>
          </cell>
        </row>
        <row r="1434">
          <cell r="A1434">
            <v>11434</v>
          </cell>
          <cell r="B1434" t="str">
            <v>*Mosaic School Drug</v>
          </cell>
        </row>
        <row r="1435">
          <cell r="A1435">
            <v>11435</v>
          </cell>
          <cell r="B1435" t="str">
            <v>*MOS - School Based</v>
          </cell>
        </row>
        <row r="1436">
          <cell r="A1436">
            <v>11436</v>
          </cell>
          <cell r="B1436" t="str">
            <v>*EHP SCIPS</v>
          </cell>
        </row>
        <row r="1437">
          <cell r="A1437">
            <v>11437</v>
          </cell>
          <cell r="B1437" t="str">
            <v>*Mosaic The Edge Vol</v>
          </cell>
        </row>
        <row r="1438">
          <cell r="A1438">
            <v>11438</v>
          </cell>
          <cell r="B1438" t="str">
            <v>SC - SHV Team 2</v>
          </cell>
        </row>
        <row r="1439">
          <cell r="A1439">
            <v>11439</v>
          </cell>
          <cell r="B1439" t="str">
            <v>EP - Fostercare</v>
          </cell>
        </row>
        <row r="1440">
          <cell r="A1440">
            <v>11440</v>
          </cell>
          <cell r="B1440" t="str">
            <v>FP - Adoption</v>
          </cell>
        </row>
        <row r="1441">
          <cell r="A1441">
            <v>11441</v>
          </cell>
          <cell r="B1441" t="str">
            <v>FP - Fostering</v>
          </cell>
        </row>
        <row r="1442">
          <cell r="A1442">
            <v>11442</v>
          </cell>
          <cell r="B1442" t="str">
            <v>SC - Edge of care</v>
          </cell>
        </row>
        <row r="1443">
          <cell r="A1443">
            <v>11443</v>
          </cell>
          <cell r="B1443" t="str">
            <v>SC - Broadfield</v>
          </cell>
        </row>
        <row r="1444">
          <cell r="A1444">
            <v>11444</v>
          </cell>
          <cell r="B1444" t="str">
            <v>*Child Home-Ac Suppo</v>
          </cell>
        </row>
        <row r="1445">
          <cell r="A1445">
            <v>11445</v>
          </cell>
          <cell r="B1445" t="str">
            <v>*CH - SMBC Homes Gen</v>
          </cell>
        </row>
        <row r="1446">
          <cell r="A1446">
            <v>11446</v>
          </cell>
          <cell r="B1446" t="str">
            <v>WD-ASC SW Developmen</v>
          </cell>
        </row>
        <row r="1447">
          <cell r="A1447">
            <v>11447</v>
          </cell>
          <cell r="B1447" t="str">
            <v>SC - Dial Park</v>
          </cell>
        </row>
        <row r="1448">
          <cell r="A1448">
            <v>11448</v>
          </cell>
          <cell r="B1448" t="str">
            <v>*Otterburn Child Hom</v>
          </cell>
        </row>
        <row r="1449">
          <cell r="A1449">
            <v>11449</v>
          </cell>
          <cell r="B1449" t="str">
            <v>EP - Residential</v>
          </cell>
        </row>
        <row r="1450">
          <cell r="A1450">
            <v>11450</v>
          </cell>
          <cell r="B1450" t="str">
            <v>DASCE</v>
          </cell>
        </row>
        <row r="1451">
          <cell r="A1451">
            <v>11451</v>
          </cell>
          <cell r="B1451" t="str">
            <v>SC - SW Cover Staff</v>
          </cell>
        </row>
        <row r="1452">
          <cell r="A1452">
            <v>11452</v>
          </cell>
          <cell r="B1452" t="str">
            <v>FP - Staying Put</v>
          </cell>
        </row>
        <row r="1453">
          <cell r="A1453">
            <v>11453</v>
          </cell>
          <cell r="B1453" t="str">
            <v>Quality Assurance</v>
          </cell>
        </row>
        <row r="1454">
          <cell r="A1454">
            <v>11454</v>
          </cell>
          <cell r="B1454" t="str">
            <v>SC - Residence Order</v>
          </cell>
        </row>
        <row r="1455">
          <cell r="A1455">
            <v>11455</v>
          </cell>
          <cell r="B1455" t="str">
            <v>*Health Policy</v>
          </cell>
        </row>
        <row r="1456">
          <cell r="A1456">
            <v>11456</v>
          </cell>
          <cell r="B1456" t="str">
            <v>*Workforce Dev Hrd G</v>
          </cell>
        </row>
        <row r="1457">
          <cell r="A1457">
            <v>11457</v>
          </cell>
          <cell r="B1457" t="str">
            <v>*Col &amp; Pvte Expen A&amp;</v>
          </cell>
        </row>
        <row r="1458">
          <cell r="A1458">
            <v>11458</v>
          </cell>
          <cell r="B1458" t="str">
            <v>*Skills for Care</v>
          </cell>
        </row>
        <row r="1459">
          <cell r="A1459">
            <v>11459</v>
          </cell>
          <cell r="B1459" t="str">
            <v>*Workforce Dev Topps</v>
          </cell>
        </row>
        <row r="1460">
          <cell r="A1460">
            <v>11460</v>
          </cell>
          <cell r="B1460" t="str">
            <v>*Ypes-Admin Support</v>
          </cell>
        </row>
        <row r="1461">
          <cell r="A1461">
            <v>11461</v>
          </cell>
          <cell r="B1461" t="str">
            <v>*LAC - Celebrating A</v>
          </cell>
        </row>
        <row r="1462">
          <cell r="A1462">
            <v>11462</v>
          </cell>
          <cell r="B1462" t="str">
            <v>*Virtual School Head</v>
          </cell>
        </row>
        <row r="1463">
          <cell r="A1463">
            <v>11463</v>
          </cell>
          <cell r="B1463" t="str">
            <v>*Ypes-Ed Support Tea</v>
          </cell>
        </row>
        <row r="1464">
          <cell r="A1464">
            <v>11464</v>
          </cell>
          <cell r="B1464" t="str">
            <v>*Ypes-Supported Plac</v>
          </cell>
        </row>
        <row r="1465">
          <cell r="A1465">
            <v>11465</v>
          </cell>
          <cell r="B1465" t="str">
            <v>*LAC - Admin &amp; Runni</v>
          </cell>
        </row>
        <row r="1466">
          <cell r="A1466">
            <v>11466</v>
          </cell>
          <cell r="B1466" t="str">
            <v>*Lacs-16+ Team</v>
          </cell>
        </row>
        <row r="1467">
          <cell r="A1467">
            <v>11467</v>
          </cell>
          <cell r="B1467" t="str">
            <v>EHP Children &amp; Famil</v>
          </cell>
        </row>
        <row r="1468">
          <cell r="A1468">
            <v>11468</v>
          </cell>
          <cell r="B1468" t="str">
            <v>Dir-Cor Credit Cards</v>
          </cell>
        </row>
        <row r="1469">
          <cell r="A1469">
            <v>11469</v>
          </cell>
          <cell r="B1469" t="str">
            <v>*S&amp;P Support</v>
          </cell>
        </row>
        <row r="1470">
          <cell r="A1470">
            <v>11470</v>
          </cell>
          <cell r="B1470" t="str">
            <v>*LAC - Improving Lif</v>
          </cell>
        </row>
        <row r="1471">
          <cell r="A1471">
            <v>11471</v>
          </cell>
          <cell r="B1471" t="str">
            <v>SC - Supported Lodgi</v>
          </cell>
        </row>
        <row r="1472">
          <cell r="A1472">
            <v>11472</v>
          </cell>
          <cell r="B1472" t="str">
            <v>SC - HTV Team 1</v>
          </cell>
        </row>
        <row r="1473">
          <cell r="A1473">
            <v>11473</v>
          </cell>
          <cell r="B1473" t="str">
            <v>SC - CB/MW Team 3</v>
          </cell>
        </row>
        <row r="1474">
          <cell r="A1474">
            <v>11474</v>
          </cell>
          <cell r="B1474" t="str">
            <v>*SC - CB/MW Team 4</v>
          </cell>
        </row>
        <row r="1475">
          <cell r="A1475">
            <v>11475</v>
          </cell>
          <cell r="B1475" t="str">
            <v>WD-Trainee Social Wo</v>
          </cell>
        </row>
        <row r="1476">
          <cell r="A1476">
            <v>11476</v>
          </cell>
          <cell r="B1476" t="str">
            <v>*SC - PRG Placement</v>
          </cell>
        </row>
        <row r="1477">
          <cell r="A1477">
            <v>11477</v>
          </cell>
          <cell r="B1477" t="str">
            <v>YJB UNPAID</v>
          </cell>
        </row>
        <row r="1478">
          <cell r="A1478">
            <v>11478</v>
          </cell>
          <cell r="B1478" t="str">
            <v>SC - Baker Street Ad</v>
          </cell>
        </row>
        <row r="1479">
          <cell r="A1479">
            <v>11479</v>
          </cell>
          <cell r="B1479" t="str">
            <v>*DP - Database</v>
          </cell>
        </row>
        <row r="1480">
          <cell r="A1480">
            <v>11480</v>
          </cell>
          <cell r="B1480" t="str">
            <v>SC - Children &amp; SCM4</v>
          </cell>
        </row>
        <row r="1481">
          <cell r="A1481">
            <v>11481</v>
          </cell>
          <cell r="B1481" t="str">
            <v>Complex LAC Team</v>
          </cell>
        </row>
        <row r="1482">
          <cell r="A1482">
            <v>11482</v>
          </cell>
          <cell r="B1482" t="str">
            <v>Fam Support-Team B</v>
          </cell>
        </row>
        <row r="1483">
          <cell r="A1483">
            <v>11483</v>
          </cell>
          <cell r="B1483" t="str">
            <v>*Fam Support-Team</v>
          </cell>
        </row>
        <row r="1484">
          <cell r="A1484">
            <v>11484</v>
          </cell>
          <cell r="B1484" t="str">
            <v>DP - Staffing</v>
          </cell>
        </row>
        <row r="1485">
          <cell r="A1485">
            <v>11485</v>
          </cell>
          <cell r="B1485" t="str">
            <v>FP - Adoption Inter</v>
          </cell>
        </row>
        <row r="1486">
          <cell r="A1486">
            <v>11486</v>
          </cell>
          <cell r="B1486" t="str">
            <v>SF Senior Management</v>
          </cell>
        </row>
        <row r="1487">
          <cell r="A1487">
            <v>11487</v>
          </cell>
          <cell r="B1487" t="str">
            <v>YJB Remand Grant</v>
          </cell>
        </row>
        <row r="1488">
          <cell r="A1488">
            <v>11488</v>
          </cell>
          <cell r="B1488" t="str">
            <v>RAA Client</v>
          </cell>
        </row>
        <row r="1489">
          <cell r="A1489">
            <v>11489</v>
          </cell>
          <cell r="B1489" t="str">
            <v>FP - Fostering Staff</v>
          </cell>
        </row>
        <row r="1490">
          <cell r="A1490">
            <v>11490</v>
          </cell>
          <cell r="B1490" t="str">
            <v>SC - Family Group Me</v>
          </cell>
        </row>
        <row r="1491">
          <cell r="A1491">
            <v>11491</v>
          </cell>
          <cell r="B1491" t="str">
            <v>SC - NW Strategic Sa</v>
          </cell>
        </row>
        <row r="1492">
          <cell r="A1492">
            <v>11492</v>
          </cell>
          <cell r="B1492" t="str">
            <v>FP - Short Breaks</v>
          </cell>
        </row>
        <row r="1493">
          <cell r="A1493">
            <v>11493</v>
          </cell>
          <cell r="B1493" t="str">
            <v>SC - KITE</v>
          </cell>
        </row>
        <row r="1494">
          <cell r="A1494">
            <v>11494</v>
          </cell>
          <cell r="B1494" t="str">
            <v>FP - Principle Lead</v>
          </cell>
        </row>
        <row r="1495">
          <cell r="A1495">
            <v>11495</v>
          </cell>
          <cell r="B1495" t="str">
            <v>EHP Family Support</v>
          </cell>
        </row>
        <row r="1496">
          <cell r="A1496">
            <v>11496</v>
          </cell>
          <cell r="B1496" t="str">
            <v>*Family C-Keston C</v>
          </cell>
        </row>
        <row r="1497">
          <cell r="A1497">
            <v>11497</v>
          </cell>
          <cell r="B1497" t="str">
            <v>*Parenting gp co-orC</v>
          </cell>
        </row>
        <row r="1498">
          <cell r="A1498">
            <v>11498</v>
          </cell>
          <cell r="B1498" t="str">
            <v>CHILDREN PARTCPTN. T</v>
          </cell>
        </row>
        <row r="1499">
          <cell r="A1499">
            <v>11499</v>
          </cell>
          <cell r="B1499" t="str">
            <v>*Family C-Reddish.V</v>
          </cell>
        </row>
        <row r="1500">
          <cell r="A1500">
            <v>11500</v>
          </cell>
          <cell r="B1500" t="str">
            <v>SC - CAHMS</v>
          </cell>
        </row>
        <row r="1501">
          <cell r="A1501">
            <v>11501</v>
          </cell>
          <cell r="B1501" t="str">
            <v>SC - Leaving Care</v>
          </cell>
        </row>
        <row r="1502">
          <cell r="A1502">
            <v>11502</v>
          </cell>
          <cell r="B1502" t="str">
            <v>Asylum Seekers</v>
          </cell>
        </row>
        <row r="1503">
          <cell r="A1503">
            <v>11503</v>
          </cell>
          <cell r="B1503" t="str">
            <v>YOS Non-Staffing</v>
          </cell>
        </row>
        <row r="1504">
          <cell r="A1504">
            <v>11504</v>
          </cell>
          <cell r="B1504" t="str">
            <v>YOS Staff</v>
          </cell>
        </row>
        <row r="1505">
          <cell r="A1505">
            <v>11505</v>
          </cell>
          <cell r="B1505" t="str">
            <v>GMCA CS Grant</v>
          </cell>
        </row>
        <row r="1506">
          <cell r="A1506">
            <v>11506</v>
          </cell>
          <cell r="B1506" t="str">
            <v>*YOT- Parenting</v>
          </cell>
        </row>
        <row r="1507">
          <cell r="A1507">
            <v>11507</v>
          </cell>
          <cell r="B1507" t="str">
            <v>*YOS - YJB Home Offi</v>
          </cell>
        </row>
        <row r="1508">
          <cell r="A1508">
            <v>11508</v>
          </cell>
          <cell r="B1508" t="str">
            <v>YOS Management Team</v>
          </cell>
        </row>
        <row r="1509">
          <cell r="A1509">
            <v>11509</v>
          </cell>
          <cell r="B1509" t="str">
            <v>*YOS - YJB KYPE</v>
          </cell>
        </row>
        <row r="1510">
          <cell r="A1510">
            <v>11510</v>
          </cell>
          <cell r="B1510" t="str">
            <v>*YOS - YJB Effective</v>
          </cell>
        </row>
        <row r="1511">
          <cell r="A1511">
            <v>11511</v>
          </cell>
          <cell r="B1511" t="str">
            <v>*Family Support Day</v>
          </cell>
        </row>
        <row r="1512">
          <cell r="A1512">
            <v>11512</v>
          </cell>
          <cell r="B1512" t="str">
            <v>IPT-Childrens Right</v>
          </cell>
        </row>
        <row r="1513">
          <cell r="A1513">
            <v>11513</v>
          </cell>
          <cell r="B1513" t="str">
            <v>DP - Respite</v>
          </cell>
        </row>
        <row r="1514">
          <cell r="A1514">
            <v>11514</v>
          </cell>
          <cell r="B1514" t="str">
            <v>SHV CSC Locality Lea</v>
          </cell>
        </row>
        <row r="1515">
          <cell r="A1515">
            <v>11515</v>
          </cell>
          <cell r="B1515" t="str">
            <v>*LAC - Stcf-LAC Supp</v>
          </cell>
        </row>
        <row r="1516">
          <cell r="A1516">
            <v>11516</v>
          </cell>
          <cell r="B1516" t="str">
            <v>HTV CSC Locality Lea</v>
          </cell>
        </row>
        <row r="1517">
          <cell r="A1517">
            <v>11517</v>
          </cell>
          <cell r="B1517" t="str">
            <v>*SG - LADO</v>
          </cell>
        </row>
        <row r="1518">
          <cell r="A1518">
            <v>11518</v>
          </cell>
          <cell r="B1518" t="str">
            <v>*OAP Misc Bur.&amp;Crem.</v>
          </cell>
        </row>
        <row r="1519">
          <cell r="A1519">
            <v>11519</v>
          </cell>
          <cell r="B1519" t="str">
            <v>*Oap Misc Heaton/Red</v>
          </cell>
        </row>
        <row r="1520">
          <cell r="A1520">
            <v>11520</v>
          </cell>
          <cell r="B1520" t="str">
            <v>*Oap Misc Marp/Wern</v>
          </cell>
        </row>
        <row r="1521">
          <cell r="A1521">
            <v>11521</v>
          </cell>
          <cell r="B1521" t="str">
            <v>*Oap Misc Prop&amp; R/Sh</v>
          </cell>
        </row>
        <row r="1522">
          <cell r="A1522">
            <v>11522</v>
          </cell>
          <cell r="B1522" t="str">
            <v>*Oap Misc Stepp. Hil</v>
          </cell>
        </row>
        <row r="1523">
          <cell r="A1523">
            <v>11523</v>
          </cell>
          <cell r="B1523" t="str">
            <v>*Oap Misc Functions</v>
          </cell>
        </row>
        <row r="1524">
          <cell r="A1524">
            <v>11524</v>
          </cell>
          <cell r="B1524" t="str">
            <v>*S&amp;P Secretariat</v>
          </cell>
        </row>
        <row r="1525">
          <cell r="A1525">
            <v>11525</v>
          </cell>
          <cell r="B1525" t="str">
            <v>*DTW Trainers</v>
          </cell>
        </row>
        <row r="1526">
          <cell r="A1526">
            <v>11526</v>
          </cell>
          <cell r="B1526" t="str">
            <v>*Comm Service centre</v>
          </cell>
        </row>
        <row r="1527">
          <cell r="A1527">
            <v>11527</v>
          </cell>
          <cell r="B1527" t="str">
            <v>*Oap Management</v>
          </cell>
        </row>
        <row r="1528">
          <cell r="A1528">
            <v>11528</v>
          </cell>
          <cell r="B1528" t="str">
            <v>*Volunteers</v>
          </cell>
        </row>
        <row r="1529">
          <cell r="A1529">
            <v>11529</v>
          </cell>
          <cell r="B1529" t="str">
            <v>*Grants Elderlypeopl</v>
          </cell>
        </row>
        <row r="1530">
          <cell r="A1530">
            <v>11530</v>
          </cell>
          <cell r="B1530" t="str">
            <v>Borough Care</v>
          </cell>
        </row>
        <row r="1531">
          <cell r="A1531">
            <v>11531</v>
          </cell>
          <cell r="B1531" t="str">
            <v>*Community Buildings</v>
          </cell>
        </row>
        <row r="1532">
          <cell r="A1532">
            <v>11532</v>
          </cell>
          <cell r="B1532" t="str">
            <v>* Ada Kay Wed-Day</v>
          </cell>
        </row>
        <row r="1533">
          <cell r="A1533">
            <v>11533</v>
          </cell>
          <cell r="B1533" t="str">
            <v>* Adswood-Stgabri</v>
          </cell>
        </row>
        <row r="1534">
          <cell r="A1534">
            <v>11534</v>
          </cell>
          <cell r="B1534" t="str">
            <v>*Lunch Club Asian Hc</v>
          </cell>
        </row>
        <row r="1535">
          <cell r="A1535">
            <v>11535</v>
          </cell>
          <cell r="B1535" t="str">
            <v>*Lunch Club Avondale</v>
          </cell>
        </row>
        <row r="1536">
          <cell r="A1536">
            <v>11536</v>
          </cell>
          <cell r="B1536" t="str">
            <v>*Lunch Club Birch Ct</v>
          </cell>
        </row>
        <row r="1537">
          <cell r="A1537">
            <v>11537</v>
          </cell>
          <cell r="B1537" t="str">
            <v>*Lunch Club Bramhall</v>
          </cell>
        </row>
        <row r="1538">
          <cell r="A1538">
            <v>11538</v>
          </cell>
          <cell r="B1538" t="str">
            <v>*  Lunch Club Br/St</v>
          </cell>
        </row>
        <row r="1539">
          <cell r="A1539">
            <v>11539</v>
          </cell>
          <cell r="B1539" t="str">
            <v>* Lunch Club Chead</v>
          </cell>
        </row>
        <row r="1540">
          <cell r="A1540">
            <v>11540</v>
          </cell>
          <cell r="B1540" t="str">
            <v>* Lunch Club C/He</v>
          </cell>
        </row>
        <row r="1541">
          <cell r="A1541">
            <v>11541</v>
          </cell>
          <cell r="B1541" t="str">
            <v>* Extra Care Housig</v>
          </cell>
        </row>
        <row r="1542">
          <cell r="A1542">
            <v>11542</v>
          </cell>
          <cell r="B1542" t="str">
            <v>*HSW Resource Centre</v>
          </cell>
        </row>
        <row r="1543">
          <cell r="A1543">
            <v>11543</v>
          </cell>
          <cell r="B1543" t="str">
            <v>*Gatley Discuss. Grp</v>
          </cell>
        </row>
        <row r="1544">
          <cell r="A1544">
            <v>11544</v>
          </cell>
          <cell r="B1544" t="str">
            <v>*Lunch Clubs General</v>
          </cell>
        </row>
        <row r="1545">
          <cell r="A1545">
            <v>11545</v>
          </cell>
          <cell r="B1545" t="str">
            <v>*Lunch Club Grove Ln</v>
          </cell>
        </row>
        <row r="1546">
          <cell r="A1546">
            <v>11546</v>
          </cell>
          <cell r="B1546" t="str">
            <v>*Lunchclub H/M Churc</v>
          </cell>
        </row>
        <row r="1547">
          <cell r="A1547">
            <v>11547</v>
          </cell>
          <cell r="B1547" t="str">
            <v>*Lunch Club Highgate</v>
          </cell>
        </row>
        <row r="1548">
          <cell r="A1548">
            <v>11548</v>
          </cell>
          <cell r="B1548" t="str">
            <v>* Lunch Club Kimber</v>
          </cell>
        </row>
        <row r="1549">
          <cell r="A1549">
            <v>11549</v>
          </cell>
          <cell r="B1549" t="str">
            <v>*Lunch Club Kinder</v>
          </cell>
        </row>
        <row r="1550">
          <cell r="A1550">
            <v>11550</v>
          </cell>
          <cell r="B1550" t="str">
            <v>*Lunch Clubs General</v>
          </cell>
        </row>
        <row r="1551">
          <cell r="A1551">
            <v>11551</v>
          </cell>
          <cell r="B1551" t="str">
            <v>* Lunch Club Marlhi</v>
          </cell>
        </row>
        <row r="1552">
          <cell r="A1552">
            <v>11552</v>
          </cell>
          <cell r="B1552" t="str">
            <v>*Lunch Club Marple U</v>
          </cell>
        </row>
        <row r="1553">
          <cell r="A1553">
            <v>11553</v>
          </cell>
          <cell r="B1553" t="str">
            <v>*Lunchclub N. Reddis</v>
          </cell>
        </row>
        <row r="1554">
          <cell r="A1554">
            <v>11554</v>
          </cell>
          <cell r="B1554" t="str">
            <v>*Lunch Club Queens G</v>
          </cell>
        </row>
        <row r="1555">
          <cell r="A1555">
            <v>11555</v>
          </cell>
          <cell r="B1555" t="str">
            <v>*Lunchclub Redd. Val</v>
          </cell>
        </row>
        <row r="1556">
          <cell r="A1556">
            <v>11556</v>
          </cell>
          <cell r="B1556" t="str">
            <v>*Lunch Club Russel G</v>
          </cell>
        </row>
        <row r="1557">
          <cell r="A1557">
            <v>11557</v>
          </cell>
          <cell r="B1557" t="str">
            <v>*Lunch C Sjohn'S C/H</v>
          </cell>
        </row>
        <row r="1558">
          <cell r="A1558">
            <v>11558</v>
          </cell>
          <cell r="B1558" t="str">
            <v>* Lunch C S.Luke'</v>
          </cell>
        </row>
        <row r="1559">
          <cell r="A1559">
            <v>11559</v>
          </cell>
          <cell r="B1559" t="str">
            <v>*Lunch Club St Peter</v>
          </cell>
        </row>
        <row r="1560">
          <cell r="A1560">
            <v>11560</v>
          </cell>
          <cell r="B1560" t="str">
            <v>*Lunch Club St W/Fre</v>
          </cell>
        </row>
        <row r="1561">
          <cell r="A1561">
            <v>11561</v>
          </cell>
          <cell r="B1561" t="str">
            <v>*Lunch Club Wimbourn</v>
          </cell>
        </row>
        <row r="1562">
          <cell r="A1562">
            <v>11562</v>
          </cell>
          <cell r="B1562" t="str">
            <v>*Central Support Cos</v>
          </cell>
        </row>
        <row r="1563">
          <cell r="A1563">
            <v>11563</v>
          </cell>
          <cell r="B1563" t="str">
            <v>*Outcome Based EAST</v>
          </cell>
        </row>
        <row r="1564">
          <cell r="A1564">
            <v>11564</v>
          </cell>
          <cell r="B1564" t="str">
            <v>*H/Care Comty Rehab'</v>
          </cell>
        </row>
        <row r="1565">
          <cell r="A1565">
            <v>11565</v>
          </cell>
          <cell r="B1565" t="str">
            <v>*Inhouse Homecare Ge</v>
          </cell>
        </row>
        <row r="1566">
          <cell r="A1566">
            <v>11566</v>
          </cell>
          <cell r="B1566" t="str">
            <v>*CAF Revenue</v>
          </cell>
        </row>
        <row r="1567">
          <cell r="A1567">
            <v>11567</v>
          </cell>
          <cell r="B1567" t="str">
            <v>*NM Brinnington</v>
          </cell>
        </row>
        <row r="1568">
          <cell r="A1568">
            <v>11568</v>
          </cell>
          <cell r="B1568" t="str">
            <v>*Home Support Mgers</v>
          </cell>
        </row>
        <row r="1569">
          <cell r="A1569">
            <v>11569</v>
          </cell>
          <cell r="B1569" t="str">
            <v>*Outcome Based WEST</v>
          </cell>
        </row>
        <row r="1570">
          <cell r="A1570">
            <v>11570</v>
          </cell>
          <cell r="B1570" t="str">
            <v>*Overnight Supp Team</v>
          </cell>
        </row>
        <row r="1571">
          <cell r="A1571">
            <v>11571</v>
          </cell>
          <cell r="B1571" t="str">
            <v>*Payments to ISSK</v>
          </cell>
        </row>
        <row r="1572">
          <cell r="A1572">
            <v>11572</v>
          </cell>
          <cell r="B1572" t="str">
            <v>*NM Adswood and Brid</v>
          </cell>
        </row>
        <row r="1573">
          <cell r="A1573">
            <v>11573</v>
          </cell>
          <cell r="B1573" t="str">
            <v>*Home Supp: Rraths</v>
          </cell>
        </row>
        <row r="1574">
          <cell r="A1574">
            <v>11574</v>
          </cell>
          <cell r="B1574" t="str">
            <v>*Home Supp Cont Care</v>
          </cell>
        </row>
        <row r="1575">
          <cell r="A1575">
            <v>11575</v>
          </cell>
          <cell r="B1575" t="str">
            <v>*Comm Build Neigh Re</v>
          </cell>
        </row>
        <row r="1576">
          <cell r="A1576">
            <v>11576</v>
          </cell>
          <cell r="B1576" t="str">
            <v>*HSIC Home Support</v>
          </cell>
        </row>
        <row r="1577">
          <cell r="A1577">
            <v>11577</v>
          </cell>
          <cell r="B1577" t="str">
            <v>*Ada Kay Centre</v>
          </cell>
        </row>
        <row r="1578">
          <cell r="A1578">
            <v>11578</v>
          </cell>
          <cell r="B1578" t="str">
            <v>Arthur Greenwood Ctr</v>
          </cell>
        </row>
        <row r="1579">
          <cell r="A1579">
            <v>11579</v>
          </cell>
          <cell r="B1579" t="str">
            <v>Crescent Rd Centre</v>
          </cell>
        </row>
        <row r="1580">
          <cell r="A1580">
            <v>11580</v>
          </cell>
          <cell r="B1580" t="str">
            <v>*Ldc'S: Relief C/Ker</v>
          </cell>
        </row>
        <row r="1581">
          <cell r="A1581">
            <v>11581</v>
          </cell>
          <cell r="B1581" t="str">
            <v>*Rehab@Home</v>
          </cell>
        </row>
        <row r="1582">
          <cell r="A1582">
            <v>11582</v>
          </cell>
          <cell r="B1582" t="str">
            <v>*Highgate Centre</v>
          </cell>
        </row>
        <row r="1583">
          <cell r="A1583">
            <v>11583</v>
          </cell>
          <cell r="B1583" t="str">
            <v>Kimberley Street Cen</v>
          </cell>
        </row>
        <row r="1584">
          <cell r="A1584">
            <v>11584</v>
          </cell>
          <cell r="B1584" t="str">
            <v>Marple Senior Citize</v>
          </cell>
        </row>
        <row r="1585">
          <cell r="A1585">
            <v>11585</v>
          </cell>
          <cell r="B1585" t="str">
            <v>*Millbrook Centre</v>
          </cell>
        </row>
        <row r="1586">
          <cell r="A1586">
            <v>11586</v>
          </cell>
          <cell r="B1586" t="str">
            <v>New Bairstow Centre</v>
          </cell>
        </row>
        <row r="1587">
          <cell r="A1587">
            <v>11587</v>
          </cell>
          <cell r="B1587" t="str">
            <v>Torkington Centre</v>
          </cell>
        </row>
        <row r="1588">
          <cell r="A1588">
            <v>11588</v>
          </cell>
          <cell r="B1588" t="str">
            <v>Underhill Centre</v>
          </cell>
        </row>
        <row r="1589">
          <cell r="A1589">
            <v>11589</v>
          </cell>
          <cell r="B1589" t="str">
            <v>Cty Mental Hlth Team</v>
          </cell>
        </row>
        <row r="1590">
          <cell r="A1590">
            <v>11590</v>
          </cell>
          <cell r="B1590" t="str">
            <v>Heads of Service</v>
          </cell>
        </row>
        <row r="1591">
          <cell r="A1591">
            <v>11591</v>
          </cell>
          <cell r="B1591" t="str">
            <v>*Hospital Team 1</v>
          </cell>
        </row>
        <row r="1592">
          <cell r="A1592">
            <v>11592</v>
          </cell>
          <cell r="B1592" t="str">
            <v>*Hospital Team 2</v>
          </cell>
        </row>
        <row r="1593">
          <cell r="A1593">
            <v>11593</v>
          </cell>
          <cell r="B1593" t="str">
            <v>Hosp.Team -Palliativ</v>
          </cell>
        </row>
        <row r="1594">
          <cell r="A1594">
            <v>11594</v>
          </cell>
          <cell r="B1594" t="str">
            <v>*Hosp.Team-R/C M Hlt</v>
          </cell>
        </row>
        <row r="1595">
          <cell r="A1595">
            <v>11595</v>
          </cell>
          <cell r="B1595" t="str">
            <v>Health StaffRecharge</v>
          </cell>
        </row>
        <row r="1596">
          <cell r="A1596">
            <v>11596</v>
          </cell>
          <cell r="B1596" t="str">
            <v>*Hosp.Team-R/Ch Pct</v>
          </cell>
        </row>
        <row r="1597">
          <cell r="A1597">
            <v>11597</v>
          </cell>
          <cell r="B1597" t="str">
            <v>*OP Int Care SW team</v>
          </cell>
        </row>
        <row r="1598">
          <cell r="A1598">
            <v>11598</v>
          </cell>
          <cell r="B1598" t="str">
            <v>*Op Interm. R/C Post</v>
          </cell>
        </row>
        <row r="1599">
          <cell r="A1599">
            <v>11599</v>
          </cell>
          <cell r="B1599" t="str">
            <v>R&amp;I Workers Hospital</v>
          </cell>
        </row>
        <row r="1600">
          <cell r="A1600">
            <v>11600</v>
          </cell>
          <cell r="B1600" t="str">
            <v>OP West Managers</v>
          </cell>
        </row>
        <row r="1601">
          <cell r="A1601">
            <v>11601</v>
          </cell>
          <cell r="B1601" t="str">
            <v>*Op Mgt Short/T East</v>
          </cell>
        </row>
        <row r="1602">
          <cell r="A1602">
            <v>11602</v>
          </cell>
          <cell r="B1602" t="str">
            <v>*Op Mgt Short/T West</v>
          </cell>
        </row>
        <row r="1603">
          <cell r="A1603">
            <v>11603</v>
          </cell>
          <cell r="B1603" t="str">
            <v>TM Assessment</v>
          </cell>
        </row>
        <row r="1604">
          <cell r="A1604">
            <v>11604</v>
          </cell>
          <cell r="B1604" t="str">
            <v>*Age Concern W/Day</v>
          </cell>
        </row>
        <row r="1605">
          <cell r="A1605">
            <v>11605</v>
          </cell>
          <cell r="B1605" t="str">
            <v>*Q Court Day Service</v>
          </cell>
        </row>
        <row r="1606">
          <cell r="A1606">
            <v>11606</v>
          </cell>
          <cell r="B1606" t="str">
            <v>*Esmi Weekend Servic</v>
          </cell>
        </row>
        <row r="1607">
          <cell r="A1607">
            <v>11607</v>
          </cell>
          <cell r="B1607" t="str">
            <v>*Queenscourt-Daysvce</v>
          </cell>
        </row>
        <row r="1608">
          <cell r="A1608">
            <v>11608</v>
          </cell>
          <cell r="B1608" t="str">
            <v>*Dom Laundry-General</v>
          </cell>
        </row>
        <row r="1609">
          <cell r="A1609">
            <v>11609</v>
          </cell>
          <cell r="B1609" t="str">
            <v>*Purchasing LT West2</v>
          </cell>
        </row>
        <row r="1610">
          <cell r="A1610">
            <v>11610</v>
          </cell>
          <cell r="B1610" t="str">
            <v>*NM Central</v>
          </cell>
        </row>
        <row r="1611">
          <cell r="A1611">
            <v>11611</v>
          </cell>
          <cell r="B1611" t="str">
            <v>*Purchasing LT East1</v>
          </cell>
        </row>
        <row r="1612">
          <cell r="A1612">
            <v>11612</v>
          </cell>
          <cell r="B1612" t="str">
            <v>* Op Short Term East</v>
          </cell>
        </row>
        <row r="1613">
          <cell r="A1613">
            <v>11613</v>
          </cell>
          <cell r="B1613" t="str">
            <v>*Purchasing LT Wst 1</v>
          </cell>
        </row>
        <row r="1614">
          <cell r="A1614">
            <v>11614</v>
          </cell>
          <cell r="B1614" t="str">
            <v>*O.P. Resid Costs</v>
          </cell>
        </row>
        <row r="1615">
          <cell r="A1615">
            <v>11615</v>
          </cell>
          <cell r="B1615" t="str">
            <v>*PDL Purchasing</v>
          </cell>
        </row>
        <row r="1616">
          <cell r="A1616">
            <v>11616</v>
          </cell>
          <cell r="B1616" t="str">
            <v>*Purchasing LT East2</v>
          </cell>
        </row>
        <row r="1617">
          <cell r="A1617">
            <v>11617</v>
          </cell>
          <cell r="B1617" t="str">
            <v>Age UK</v>
          </cell>
        </row>
        <row r="1618">
          <cell r="A1618">
            <v>11618</v>
          </cell>
          <cell r="B1618" t="str">
            <v>*Town Centre</v>
          </cell>
        </row>
        <row r="1619">
          <cell r="A1619">
            <v>11619</v>
          </cell>
          <cell r="B1619" t="str">
            <v>*Black History Month</v>
          </cell>
        </row>
        <row r="1620">
          <cell r="A1620">
            <v>11620</v>
          </cell>
          <cell r="B1620" t="str">
            <v>Comm Grants-Projects</v>
          </cell>
        </row>
        <row r="1621">
          <cell r="A1621">
            <v>11621</v>
          </cell>
          <cell r="B1621" t="str">
            <v>Comm Rent Grants</v>
          </cell>
        </row>
        <row r="1622">
          <cell r="A1622">
            <v>11622</v>
          </cell>
          <cell r="B1622" t="str">
            <v>*C/Call Equip Rental</v>
          </cell>
        </row>
        <row r="1623">
          <cell r="A1623">
            <v>11623</v>
          </cell>
          <cell r="B1623" t="str">
            <v>*Op OP - Signpost</v>
          </cell>
        </row>
        <row r="1624">
          <cell r="A1624">
            <v>11624</v>
          </cell>
          <cell r="B1624" t="str">
            <v>*Comm Grants-Credit</v>
          </cell>
        </row>
        <row r="1625">
          <cell r="A1625">
            <v>11625</v>
          </cell>
          <cell r="B1625" t="str">
            <v>*Comm Grants-Victim</v>
          </cell>
        </row>
        <row r="1626">
          <cell r="A1626">
            <v>11626</v>
          </cell>
          <cell r="B1626" t="str">
            <v>*Comm Grants - CVS</v>
          </cell>
        </row>
        <row r="1627">
          <cell r="A1627">
            <v>11627</v>
          </cell>
          <cell r="B1627" t="str">
            <v>*Comm Grants - CAB</v>
          </cell>
        </row>
        <row r="1628">
          <cell r="A1628">
            <v>11628</v>
          </cell>
          <cell r="B1628" t="str">
            <v>OP Purchase General</v>
          </cell>
        </row>
        <row r="1629">
          <cell r="A1629">
            <v>11629</v>
          </cell>
          <cell r="B1629" t="str">
            <v>*Long Term West 1</v>
          </cell>
        </row>
        <row r="1630">
          <cell r="A1630">
            <v>11630</v>
          </cell>
          <cell r="B1630" t="str">
            <v>*Cm&amp;N:Longterm East1</v>
          </cell>
        </row>
        <row r="1631">
          <cell r="A1631">
            <v>11631</v>
          </cell>
          <cell r="B1631" t="str">
            <v>*Marple Blockcontr</v>
          </cell>
        </row>
        <row r="1632">
          <cell r="A1632">
            <v>11632</v>
          </cell>
          <cell r="B1632" t="str">
            <v>*Comm Grants-Furnitu</v>
          </cell>
        </row>
        <row r="1633">
          <cell r="A1633">
            <v>11633</v>
          </cell>
          <cell r="B1633" t="str">
            <v>*Comm Grants-Shopmob</v>
          </cell>
        </row>
        <row r="1634">
          <cell r="A1634">
            <v>11634</v>
          </cell>
          <cell r="B1634" t="str">
            <v>*Widening Comm Partn</v>
          </cell>
        </row>
        <row r="1635">
          <cell r="A1635">
            <v>11635</v>
          </cell>
          <cell r="B1635" t="str">
            <v>*Credit Union</v>
          </cell>
        </row>
        <row r="1636">
          <cell r="A1636">
            <v>11636</v>
          </cell>
          <cell r="B1636" t="str">
            <v>Service Director CD</v>
          </cell>
        </row>
        <row r="1637">
          <cell r="A1637">
            <v>11637</v>
          </cell>
          <cell r="B1637" t="str">
            <v>*HR -Local Pay Revie</v>
          </cell>
        </row>
        <row r="1638">
          <cell r="A1638">
            <v>11638</v>
          </cell>
          <cell r="B1638" t="str">
            <v>*Op Marple Purch</v>
          </cell>
        </row>
        <row r="1639">
          <cell r="A1639">
            <v>11641</v>
          </cell>
          <cell r="B1639" t="str">
            <v>POD Teachers Bureau</v>
          </cell>
        </row>
        <row r="1640">
          <cell r="A1640">
            <v>11642</v>
          </cell>
          <cell r="B1640" t="str">
            <v>CSS Directorate Cost</v>
          </cell>
        </row>
        <row r="1641">
          <cell r="A1641">
            <v>11643</v>
          </cell>
          <cell r="B1641" t="str">
            <v>SPB    (A&amp;C)</v>
          </cell>
        </row>
        <row r="1642">
          <cell r="A1642">
            <v>11644</v>
          </cell>
          <cell r="B1642" t="str">
            <v>SPB  (Business Svcs)</v>
          </cell>
        </row>
        <row r="1643">
          <cell r="A1643">
            <v>11645</v>
          </cell>
          <cell r="B1643" t="str">
            <v>*Grants Physical Dis</v>
          </cell>
        </row>
        <row r="1644">
          <cell r="A1644">
            <v>11646</v>
          </cell>
          <cell r="B1644" t="str">
            <v>*Acc&amp;Systems Com Eqp</v>
          </cell>
        </row>
        <row r="1645">
          <cell r="A1645">
            <v>11647</v>
          </cell>
          <cell r="B1645" t="str">
            <v>SPB     (C&amp;YP)</v>
          </cell>
        </row>
        <row r="1646">
          <cell r="A1646">
            <v>11648</v>
          </cell>
          <cell r="B1646" t="str">
            <v>*Dis. Assess Team Yp</v>
          </cell>
        </row>
        <row r="1647">
          <cell r="A1647">
            <v>11649</v>
          </cell>
          <cell r="B1647" t="str">
            <v>E&amp;A Team Managers</v>
          </cell>
        </row>
        <row r="1648">
          <cell r="A1648">
            <v>11650</v>
          </cell>
          <cell r="B1648" t="str">
            <v>*Equip&amp;Adap Short Te</v>
          </cell>
        </row>
        <row r="1649">
          <cell r="A1649">
            <v>11651</v>
          </cell>
          <cell r="B1649" t="str">
            <v>*Equip&amp;Adap Long Ter</v>
          </cell>
        </row>
        <row r="1650">
          <cell r="A1650">
            <v>11652</v>
          </cell>
          <cell r="B1650" t="str">
            <v>*Extra O T Staff</v>
          </cell>
        </row>
        <row r="1651">
          <cell r="A1651">
            <v>11653</v>
          </cell>
          <cell r="B1651" t="str">
            <v>SPB   (E&amp;ED)</v>
          </cell>
        </row>
        <row r="1652">
          <cell r="A1652">
            <v>11654</v>
          </cell>
          <cell r="B1652" t="str">
            <v>*Ds Sensory Loss Tea</v>
          </cell>
        </row>
        <row r="1653">
          <cell r="A1653">
            <v>11655</v>
          </cell>
          <cell r="B1653" t="str">
            <v>*C. Mgt Phys Dis Svc</v>
          </cell>
        </row>
        <row r="1654">
          <cell r="A1654">
            <v>11656</v>
          </cell>
          <cell r="B1654" t="str">
            <v>*Direct Paymt-Suppor</v>
          </cell>
        </row>
        <row r="1655">
          <cell r="A1655">
            <v>11657</v>
          </cell>
          <cell r="B1655" t="str">
            <v>SPB (Nov. Invoices)</v>
          </cell>
        </row>
        <row r="1656">
          <cell r="A1656">
            <v>11658</v>
          </cell>
          <cell r="B1656" t="str">
            <v>Aids, Equip &amp; Maint</v>
          </cell>
        </row>
        <row r="1657">
          <cell r="A1657">
            <v>11659</v>
          </cell>
          <cell r="B1657" t="str">
            <v>*Home Equipment Stor</v>
          </cell>
        </row>
        <row r="1658">
          <cell r="A1658">
            <v>11660</v>
          </cell>
          <cell r="B1658" t="str">
            <v>Dis Svce:Domest Lift</v>
          </cell>
        </row>
        <row r="1659">
          <cell r="A1659">
            <v>11661</v>
          </cell>
          <cell r="B1659" t="str">
            <v>Moving &amp; Handling</v>
          </cell>
        </row>
        <row r="1660">
          <cell r="A1660">
            <v>11662</v>
          </cell>
          <cell r="B1660" t="str">
            <v>SPB Operational Est.</v>
          </cell>
        </row>
        <row r="1661">
          <cell r="A1661">
            <v>11663</v>
          </cell>
          <cell r="B1661" t="str">
            <v>*PD Care Purchasing</v>
          </cell>
        </row>
        <row r="1662">
          <cell r="A1662">
            <v>11664</v>
          </cell>
          <cell r="B1662" t="str">
            <v>*ICT- Customer Svces</v>
          </cell>
        </row>
        <row r="1663">
          <cell r="A1663">
            <v>11665</v>
          </cell>
          <cell r="B1663" t="str">
            <v>*Sensory Loss Equip</v>
          </cell>
        </row>
        <row r="1664">
          <cell r="A1664">
            <v>11666</v>
          </cell>
          <cell r="B1664" t="str">
            <v>*Physdis Prop Manage</v>
          </cell>
        </row>
        <row r="1665">
          <cell r="A1665">
            <v>11667</v>
          </cell>
          <cell r="B1665" t="str">
            <v>*Elm Court</v>
          </cell>
        </row>
        <row r="1666">
          <cell r="A1666">
            <v>11668</v>
          </cell>
          <cell r="B1666" t="str">
            <v>*C/Thwaite Orchard C</v>
          </cell>
        </row>
        <row r="1667">
          <cell r="A1667">
            <v>11669</v>
          </cell>
          <cell r="B1667" t="str">
            <v>*Patch Properties</v>
          </cell>
        </row>
        <row r="1668">
          <cell r="A1668">
            <v>11670</v>
          </cell>
          <cell r="B1668" t="str">
            <v>*The Together Trust</v>
          </cell>
        </row>
        <row r="1669">
          <cell r="A1669">
            <v>11671</v>
          </cell>
          <cell r="B1669" t="str">
            <v>*ICT- Change Mgt</v>
          </cell>
        </row>
        <row r="1670">
          <cell r="A1670">
            <v>11672</v>
          </cell>
          <cell r="B1670" t="str">
            <v>*POD Support Workers</v>
          </cell>
        </row>
        <row r="1671">
          <cell r="A1671">
            <v>11673</v>
          </cell>
          <cell r="B1671" t="str">
            <v>*Crossroads Care Att</v>
          </cell>
        </row>
        <row r="1672">
          <cell r="A1672">
            <v>11674</v>
          </cell>
          <cell r="B1672" t="str">
            <v>SPARC</v>
          </cell>
        </row>
        <row r="1673">
          <cell r="A1673">
            <v>11675</v>
          </cell>
          <cell r="B1673" t="str">
            <v>Redcroft Residential</v>
          </cell>
        </row>
        <row r="1674">
          <cell r="A1674">
            <v>11676</v>
          </cell>
          <cell r="B1674" t="str">
            <v>*Adas Rehab Contract</v>
          </cell>
        </row>
        <row r="1675">
          <cell r="A1675">
            <v>11677</v>
          </cell>
          <cell r="B1675" t="str">
            <v>*Alcohol Detox Svces</v>
          </cell>
        </row>
        <row r="1676">
          <cell r="A1676">
            <v>11678</v>
          </cell>
          <cell r="B1676" t="str">
            <v>Alcohol&amp;Drug Res/Nur</v>
          </cell>
        </row>
        <row r="1677">
          <cell r="A1677">
            <v>11679</v>
          </cell>
          <cell r="B1677" t="str">
            <v>*Alcohol &amp; Drug Team</v>
          </cell>
        </row>
        <row r="1678">
          <cell r="A1678">
            <v>11680</v>
          </cell>
          <cell r="B1678" t="str">
            <v>*A&amp;D Unit 129 Well.R</v>
          </cell>
        </row>
        <row r="1679">
          <cell r="A1679">
            <v>11681</v>
          </cell>
          <cell r="B1679" t="str">
            <v>*Drugs Team</v>
          </cell>
        </row>
        <row r="1680">
          <cell r="A1680">
            <v>11682</v>
          </cell>
          <cell r="B1680" t="str">
            <v>*Drug Detox Services</v>
          </cell>
        </row>
        <row r="1681">
          <cell r="A1681">
            <v>11683</v>
          </cell>
          <cell r="B1681" t="str">
            <v>*Drug Rehab Services</v>
          </cell>
        </row>
        <row r="1682">
          <cell r="A1682">
            <v>11684</v>
          </cell>
          <cell r="B1682" t="str">
            <v>*Drugs&amp;Alcohol Svice</v>
          </cell>
        </row>
        <row r="1683">
          <cell r="A1683">
            <v>11685</v>
          </cell>
          <cell r="B1683" t="str">
            <v>*Drugs Svce Care Mgt</v>
          </cell>
        </row>
        <row r="1684">
          <cell r="A1684">
            <v>11686</v>
          </cell>
          <cell r="B1684" t="str">
            <v>Drugs Svce R&amp;N Care</v>
          </cell>
        </row>
        <row r="1685">
          <cell r="A1685">
            <v>11687</v>
          </cell>
          <cell r="B1685" t="str">
            <v>M Health Grant Svces</v>
          </cell>
        </row>
        <row r="1686">
          <cell r="A1686">
            <v>11688</v>
          </cell>
          <cell r="B1686" t="str">
            <v>*Recovery Conference</v>
          </cell>
        </row>
        <row r="1687">
          <cell r="A1687">
            <v>11689</v>
          </cell>
          <cell r="B1687" t="str">
            <v>*Rethink/Making Spac</v>
          </cell>
        </row>
        <row r="1688">
          <cell r="A1688">
            <v>11690</v>
          </cell>
          <cell r="B1688" t="str">
            <v>*MHG Acces grant con</v>
          </cell>
        </row>
        <row r="1689">
          <cell r="A1689">
            <v>11691</v>
          </cell>
          <cell r="B1689" t="str">
            <v>MCA Grant</v>
          </cell>
        </row>
        <row r="1690">
          <cell r="A1690">
            <v>11692</v>
          </cell>
          <cell r="B1690" t="str">
            <v>Stockport &amp;Dist Mind</v>
          </cell>
        </row>
        <row r="1691">
          <cell r="A1691">
            <v>11693</v>
          </cell>
          <cell r="B1691" t="str">
            <v>* Weekend Esmi Ser</v>
          </cell>
        </row>
        <row r="1692">
          <cell r="A1692">
            <v>11694</v>
          </cell>
          <cell r="B1692" t="str">
            <v>*Assertive Outreach</v>
          </cell>
        </row>
        <row r="1693">
          <cell r="A1693">
            <v>11695</v>
          </cell>
          <cell r="B1693" t="str">
            <v>Queensway</v>
          </cell>
        </row>
        <row r="1694">
          <cell r="A1694">
            <v>11696</v>
          </cell>
          <cell r="B1694" t="str">
            <v>*CMHT 1</v>
          </cell>
        </row>
        <row r="1695">
          <cell r="A1695">
            <v>11697</v>
          </cell>
          <cell r="B1695" t="str">
            <v>*CMHT 2</v>
          </cell>
        </row>
        <row r="1696">
          <cell r="A1696">
            <v>11698</v>
          </cell>
          <cell r="B1696" t="str">
            <v>*CMHT 3</v>
          </cell>
        </row>
        <row r="1697">
          <cell r="A1697">
            <v>11699</v>
          </cell>
          <cell r="B1697" t="str">
            <v>*Home Treatment Team</v>
          </cell>
        </row>
        <row r="1698">
          <cell r="A1698">
            <v>11700</v>
          </cell>
          <cell r="B1698" t="str">
            <v>*Early In/Ventiontea</v>
          </cell>
        </row>
        <row r="1699">
          <cell r="A1699">
            <v>11701</v>
          </cell>
          <cell r="B1699" t="str">
            <v>MH Access Team</v>
          </cell>
        </row>
        <row r="1700">
          <cell r="A1700">
            <v>11702</v>
          </cell>
          <cell r="B1700" t="str">
            <v>*Hospital night team</v>
          </cell>
        </row>
        <row r="1701">
          <cell r="A1701">
            <v>11703</v>
          </cell>
          <cell r="B1701" t="str">
            <v>Criminal Justice MHT</v>
          </cell>
        </row>
        <row r="1702">
          <cell r="A1702">
            <v>11704</v>
          </cell>
          <cell r="B1702" t="str">
            <v>*Mh Svce Costs Gener</v>
          </cell>
        </row>
        <row r="1703">
          <cell r="A1703">
            <v>11705</v>
          </cell>
          <cell r="B1703" t="str">
            <v>Self Directive Supp</v>
          </cell>
        </row>
        <row r="1704">
          <cell r="A1704">
            <v>11706</v>
          </cell>
          <cell r="B1704" t="str">
            <v>Supported Living</v>
          </cell>
        </row>
        <row r="1705">
          <cell r="A1705">
            <v>11707</v>
          </cell>
          <cell r="B1705" t="str">
            <v>*Recovery &amp; Inclusio</v>
          </cell>
        </row>
        <row r="1706">
          <cell r="A1706">
            <v>11708</v>
          </cell>
          <cell r="B1706" t="str">
            <v>MH Team Managers</v>
          </cell>
        </row>
        <row r="1707">
          <cell r="A1707">
            <v>11709</v>
          </cell>
          <cell r="B1707" t="str">
            <v>*Ass. Outreach Care</v>
          </cell>
        </row>
        <row r="1708">
          <cell r="A1708">
            <v>11710</v>
          </cell>
          <cell r="B1708" t="str">
            <v>*Cmht 1 - Care Mgt</v>
          </cell>
        </row>
        <row r="1709">
          <cell r="A1709">
            <v>11711</v>
          </cell>
          <cell r="B1709" t="str">
            <v>CMHT 1 Purchasing</v>
          </cell>
        </row>
        <row r="1710">
          <cell r="A1710">
            <v>11712</v>
          </cell>
          <cell r="B1710" t="str">
            <v>*Cmht 2 - Care Mgt</v>
          </cell>
        </row>
        <row r="1711">
          <cell r="A1711">
            <v>11713</v>
          </cell>
          <cell r="B1711" t="str">
            <v>CMHT 2 Purchasing</v>
          </cell>
        </row>
        <row r="1712">
          <cell r="A1712">
            <v>11714</v>
          </cell>
          <cell r="B1712" t="str">
            <v>*Cmht 3 - Care Mgnt</v>
          </cell>
        </row>
        <row r="1713">
          <cell r="A1713">
            <v>11715</v>
          </cell>
          <cell r="B1713" t="str">
            <v>CMHT 3 Purchasing</v>
          </cell>
        </row>
        <row r="1714">
          <cell r="A1714">
            <v>11716</v>
          </cell>
          <cell r="B1714" t="str">
            <v>*Field S Support Hsg</v>
          </cell>
        </row>
        <row r="1715">
          <cell r="A1715">
            <v>11717</v>
          </cell>
          <cell r="B1715" t="str">
            <v>*MH Heathfield</v>
          </cell>
        </row>
        <row r="1716">
          <cell r="A1716">
            <v>11718</v>
          </cell>
          <cell r="B1716" t="str">
            <v>*SComm MHT Purchasig</v>
          </cell>
        </row>
        <row r="1717">
          <cell r="A1717">
            <v>11719</v>
          </cell>
          <cell r="B1717" t="str">
            <v>Mh Day Centre Costs</v>
          </cell>
        </row>
        <row r="1718">
          <cell r="A1718">
            <v>11720</v>
          </cell>
          <cell r="B1718" t="str">
            <v>*Sto Mind H/Line Con</v>
          </cell>
        </row>
        <row r="1719">
          <cell r="A1719">
            <v>11721</v>
          </cell>
          <cell r="B1719" t="str">
            <v>POD Occ. Health</v>
          </cell>
        </row>
        <row r="1720">
          <cell r="A1720">
            <v>11722</v>
          </cell>
          <cell r="B1720" t="str">
            <v>*NVQ Co-Ordinator(Sp</v>
          </cell>
        </row>
        <row r="1721">
          <cell r="A1721">
            <v>11723</v>
          </cell>
          <cell r="B1721" t="str">
            <v>*M&amp;R(Sp)Wel Rghts Of</v>
          </cell>
        </row>
        <row r="1722">
          <cell r="A1722">
            <v>11724</v>
          </cell>
          <cell r="B1722" t="str">
            <v>*Grants Learning Dis</v>
          </cell>
        </row>
        <row r="1723">
          <cell r="A1723">
            <v>11725</v>
          </cell>
          <cell r="B1723" t="str">
            <v>*Invest in Reform</v>
          </cell>
        </row>
        <row r="1724">
          <cell r="A1724">
            <v>11726</v>
          </cell>
          <cell r="B1724" t="str">
            <v>*Res Care Hulme Hall</v>
          </cell>
        </row>
        <row r="1725">
          <cell r="A1725">
            <v>11727</v>
          </cell>
          <cell r="B1725" t="str">
            <v>POD Internal Bureau</v>
          </cell>
        </row>
        <row r="1726">
          <cell r="A1726">
            <v>11728</v>
          </cell>
          <cell r="B1726" t="str">
            <v>*5 Bowerfold Rd</v>
          </cell>
        </row>
        <row r="1727">
          <cell r="A1727">
            <v>11729</v>
          </cell>
          <cell r="B1727" t="str">
            <v>CSS Soc.Care Finance</v>
          </cell>
        </row>
        <row r="1728">
          <cell r="A1728">
            <v>11730</v>
          </cell>
          <cell r="B1728" t="str">
            <v>*25 Broomfield</v>
          </cell>
        </row>
        <row r="1729">
          <cell r="A1729">
            <v>11731</v>
          </cell>
          <cell r="B1729" t="str">
            <v>*41 Brownsville Road</v>
          </cell>
        </row>
        <row r="1730">
          <cell r="A1730">
            <v>11732</v>
          </cell>
          <cell r="B1730" t="str">
            <v>*117 Carnforth Road</v>
          </cell>
        </row>
        <row r="1731">
          <cell r="A1731">
            <v>11733</v>
          </cell>
          <cell r="B1731" t="str">
            <v>*107 Criterion Stret</v>
          </cell>
        </row>
        <row r="1732">
          <cell r="A1732">
            <v>11734</v>
          </cell>
          <cell r="B1732" t="str">
            <v>*FSS C.Invoicing (AP</v>
          </cell>
        </row>
        <row r="1733">
          <cell r="A1733">
            <v>11735</v>
          </cell>
          <cell r="B1733" t="str">
            <v>Traded Services</v>
          </cell>
        </row>
        <row r="1734">
          <cell r="A1734">
            <v>11736</v>
          </cell>
          <cell r="B1734" t="str">
            <v>*31 Elizabeth Ave</v>
          </cell>
        </row>
        <row r="1735">
          <cell r="A1735">
            <v>11737</v>
          </cell>
          <cell r="B1735" t="str">
            <v>*MCU Projects</v>
          </cell>
        </row>
        <row r="1736">
          <cell r="A1736">
            <v>11738</v>
          </cell>
          <cell r="B1736" t="str">
            <v>*39 Jubilee Court</v>
          </cell>
        </row>
        <row r="1737">
          <cell r="A1737">
            <v>11739</v>
          </cell>
          <cell r="B1737" t="str">
            <v>*46 Jubilee Court</v>
          </cell>
        </row>
        <row r="1738">
          <cell r="A1738">
            <v>11740</v>
          </cell>
          <cell r="B1738" t="str">
            <v>EHP TP Commissioning</v>
          </cell>
        </row>
        <row r="1739">
          <cell r="A1739">
            <v>11741</v>
          </cell>
          <cell r="B1739" t="str">
            <v>Contingency</v>
          </cell>
        </row>
        <row r="1740">
          <cell r="A1740">
            <v>11742</v>
          </cell>
          <cell r="B1740" t="str">
            <v>3 Harwich Close</v>
          </cell>
        </row>
        <row r="1741">
          <cell r="A1741">
            <v>11743</v>
          </cell>
          <cell r="B1741" t="str">
            <v>*4 Pembry Close</v>
          </cell>
        </row>
        <row r="1742">
          <cell r="A1742">
            <v>11744</v>
          </cell>
          <cell r="B1742" t="str">
            <v>*46 Penshurst Street</v>
          </cell>
        </row>
        <row r="1743">
          <cell r="A1743">
            <v>11745</v>
          </cell>
          <cell r="B1743" t="str">
            <v>*200 Buxton Road</v>
          </cell>
        </row>
        <row r="1744">
          <cell r="A1744">
            <v>11746</v>
          </cell>
          <cell r="B1744" t="str">
            <v>Peer Ed/SRE Parents</v>
          </cell>
        </row>
        <row r="1745">
          <cell r="A1745">
            <v>11747</v>
          </cell>
          <cell r="B1745" t="str">
            <v>*Rushworth Ct Flats</v>
          </cell>
        </row>
        <row r="1746">
          <cell r="A1746">
            <v>11748</v>
          </cell>
          <cell r="B1746" t="str">
            <v>*136 Bramhall Lane</v>
          </cell>
        </row>
        <row r="1747">
          <cell r="A1747">
            <v>11749</v>
          </cell>
          <cell r="B1747" t="str">
            <v>*Youth Posts</v>
          </cell>
        </row>
        <row r="1748">
          <cell r="A1748">
            <v>11750</v>
          </cell>
          <cell r="B1748" t="str">
            <v>*381 Wellington Rd N</v>
          </cell>
        </row>
        <row r="1749">
          <cell r="A1749">
            <v>11751</v>
          </cell>
          <cell r="B1749" t="str">
            <v>148 Shaw Heath</v>
          </cell>
        </row>
        <row r="1750">
          <cell r="A1750">
            <v>11752</v>
          </cell>
          <cell r="B1750" t="str">
            <v>*D2 Wa/Nutt R 12Pc37</v>
          </cell>
        </row>
        <row r="1751">
          <cell r="A1751">
            <v>11753</v>
          </cell>
          <cell r="B1751" t="str">
            <v>*94 Beech Road</v>
          </cell>
        </row>
        <row r="1752">
          <cell r="A1752">
            <v>11754</v>
          </cell>
          <cell r="B1752" t="str">
            <v>*359 Bramhall Lane</v>
          </cell>
        </row>
        <row r="1753">
          <cell r="A1753">
            <v>11755</v>
          </cell>
          <cell r="B1753" t="str">
            <v>*183 Bramhall Moor L</v>
          </cell>
        </row>
        <row r="1754">
          <cell r="A1754">
            <v>11756</v>
          </cell>
          <cell r="B1754" t="str">
            <v>*58 Calderbrook Ct</v>
          </cell>
        </row>
        <row r="1755">
          <cell r="A1755">
            <v>11757</v>
          </cell>
          <cell r="B1755" t="str">
            <v>*8 Crosby Street</v>
          </cell>
        </row>
        <row r="1756">
          <cell r="A1756">
            <v>11758</v>
          </cell>
          <cell r="B1756" t="str">
            <v>*27 Daresbury Close</v>
          </cell>
        </row>
        <row r="1757">
          <cell r="A1757">
            <v>11759</v>
          </cell>
          <cell r="B1757" t="str">
            <v>*NHS (Trust) TP</v>
          </cell>
        </row>
        <row r="1758">
          <cell r="A1758">
            <v>11760</v>
          </cell>
          <cell r="B1758" t="str">
            <v>*54 Garners Lane</v>
          </cell>
        </row>
        <row r="1759">
          <cell r="A1759">
            <v>11761</v>
          </cell>
          <cell r="B1759" t="str">
            <v>*Herons Watch</v>
          </cell>
        </row>
        <row r="1760">
          <cell r="A1760">
            <v>11762</v>
          </cell>
          <cell r="B1760" t="str">
            <v>*60a Hulme Hall Road</v>
          </cell>
        </row>
        <row r="1761">
          <cell r="A1761">
            <v>11763</v>
          </cell>
          <cell r="B1761" t="str">
            <v>*Bodywise Training</v>
          </cell>
        </row>
        <row r="1762">
          <cell r="A1762">
            <v>11764</v>
          </cell>
          <cell r="B1762" t="str">
            <v>*33 Lark Hill Road</v>
          </cell>
        </row>
        <row r="1763">
          <cell r="A1763">
            <v>11765</v>
          </cell>
          <cell r="B1763" t="str">
            <v>*YJB RJ</v>
          </cell>
        </row>
        <row r="1764">
          <cell r="A1764">
            <v>11766</v>
          </cell>
          <cell r="B1764" t="str">
            <v>*37 Ravenoak Road</v>
          </cell>
        </row>
        <row r="1765">
          <cell r="A1765">
            <v>11767</v>
          </cell>
          <cell r="B1765" t="str">
            <v>*FP - Admin</v>
          </cell>
        </row>
        <row r="1766">
          <cell r="A1766">
            <v>11768</v>
          </cell>
          <cell r="B1766" t="str">
            <v>SC - Care Matters</v>
          </cell>
        </row>
        <row r="1767">
          <cell r="A1767">
            <v>11769</v>
          </cell>
          <cell r="B1767" t="str">
            <v>*144 Shaw Heath</v>
          </cell>
        </row>
        <row r="1768">
          <cell r="A1768">
            <v>11770</v>
          </cell>
          <cell r="B1768" t="str">
            <v>*SC - PEAS Care Matt</v>
          </cell>
        </row>
        <row r="1769">
          <cell r="A1769">
            <v>11771</v>
          </cell>
          <cell r="B1769" t="str">
            <v>*59 Shaw Heath</v>
          </cell>
        </row>
        <row r="1770">
          <cell r="A1770">
            <v>11772</v>
          </cell>
          <cell r="B1770" t="str">
            <v>*13 Stirling Close</v>
          </cell>
        </row>
        <row r="1771">
          <cell r="A1771">
            <v>11773</v>
          </cell>
          <cell r="B1771" t="str">
            <v>*Reg Dev Grant-B.Hol</v>
          </cell>
        </row>
        <row r="1772">
          <cell r="A1772">
            <v>11774</v>
          </cell>
          <cell r="B1772" t="str">
            <v>*Child Disbl Integra</v>
          </cell>
        </row>
        <row r="1773">
          <cell r="A1773">
            <v>11775</v>
          </cell>
          <cell r="B1773" t="str">
            <v>*17 Victoria Close</v>
          </cell>
        </row>
        <row r="1774">
          <cell r="A1774">
            <v>11776</v>
          </cell>
          <cell r="B1774" t="str">
            <v>*347B London Road</v>
          </cell>
        </row>
        <row r="1775">
          <cell r="A1775">
            <v>11777</v>
          </cell>
          <cell r="B1775" t="str">
            <v>*117 Longrain Place</v>
          </cell>
        </row>
        <row r="1776">
          <cell r="A1776">
            <v>11778</v>
          </cell>
          <cell r="B1776" t="str">
            <v>*39 Birch Vale</v>
          </cell>
        </row>
        <row r="1777">
          <cell r="A1777">
            <v>11779</v>
          </cell>
          <cell r="B1777" t="str">
            <v>*163 Blasemoss Bank</v>
          </cell>
        </row>
        <row r="1778">
          <cell r="A1778">
            <v>11780</v>
          </cell>
          <cell r="B1778" t="str">
            <v>*YOS Building</v>
          </cell>
        </row>
        <row r="1779">
          <cell r="A1779">
            <v>11781</v>
          </cell>
          <cell r="B1779" t="str">
            <v>*3 Elizabeth Street</v>
          </cell>
        </row>
        <row r="1780">
          <cell r="A1780">
            <v>11782</v>
          </cell>
          <cell r="B1780" t="str">
            <v>*71 Corcoran Drive</v>
          </cell>
        </row>
        <row r="1781">
          <cell r="A1781">
            <v>11783</v>
          </cell>
          <cell r="B1781" t="str">
            <v>*YOS - YJB IRS</v>
          </cell>
        </row>
        <row r="1782">
          <cell r="A1782">
            <v>11784</v>
          </cell>
          <cell r="B1782" t="str">
            <v>*2 Dial Park Road</v>
          </cell>
        </row>
        <row r="1783">
          <cell r="A1783">
            <v>11785</v>
          </cell>
          <cell r="B1783" t="str">
            <v>*YOS - YJB GM PVE</v>
          </cell>
        </row>
        <row r="1784">
          <cell r="A1784">
            <v>11786</v>
          </cell>
          <cell r="B1784" t="str">
            <v>*YOS - Sessional Wor</v>
          </cell>
        </row>
        <row r="1785">
          <cell r="A1785">
            <v>11787</v>
          </cell>
          <cell r="B1785" t="str">
            <v>Yth Justice EarlyInt</v>
          </cell>
        </row>
        <row r="1786">
          <cell r="A1786">
            <v>11788</v>
          </cell>
          <cell r="B1786" t="str">
            <v>*YOS RJ &amp; Partnershi</v>
          </cell>
        </row>
        <row r="1787">
          <cell r="A1787">
            <v>11789</v>
          </cell>
          <cell r="B1787" t="str">
            <v>*21 Highfield Road</v>
          </cell>
        </row>
        <row r="1788">
          <cell r="A1788">
            <v>11790</v>
          </cell>
          <cell r="B1788" t="str">
            <v>*20 Higson Avenue</v>
          </cell>
        </row>
        <row r="1789">
          <cell r="A1789">
            <v>11791</v>
          </cell>
          <cell r="B1789" t="str">
            <v>*DP - Personalisatio</v>
          </cell>
        </row>
        <row r="1790">
          <cell r="A1790">
            <v>11792</v>
          </cell>
          <cell r="B1790" t="str">
            <v>*Int Care Sup Housin</v>
          </cell>
        </row>
        <row r="1791">
          <cell r="A1791">
            <v>11793</v>
          </cell>
          <cell r="B1791" t="str">
            <v>*39 Lisburne Lane</v>
          </cell>
        </row>
        <row r="1792">
          <cell r="A1792">
            <v>11794</v>
          </cell>
          <cell r="B1792" t="str">
            <v>*4 Lowick Green</v>
          </cell>
        </row>
        <row r="1793">
          <cell r="A1793">
            <v>11795</v>
          </cell>
          <cell r="B1793" t="str">
            <v>*56 Offerton Road</v>
          </cell>
        </row>
        <row r="1794">
          <cell r="A1794">
            <v>11796</v>
          </cell>
          <cell r="B1794" t="str">
            <v>*Adult CE-WB Learnin</v>
          </cell>
        </row>
        <row r="1795">
          <cell r="A1795">
            <v>11797</v>
          </cell>
          <cell r="B1795" t="str">
            <v>*Adult CE-Hairdressi</v>
          </cell>
        </row>
        <row r="1796">
          <cell r="A1796">
            <v>11798</v>
          </cell>
          <cell r="B1796" t="str">
            <v>*Adult CE- Care</v>
          </cell>
        </row>
        <row r="1797">
          <cell r="A1797">
            <v>11799</v>
          </cell>
          <cell r="B1797" t="str">
            <v>*Adult CE- Catering</v>
          </cell>
        </row>
        <row r="1798">
          <cell r="A1798">
            <v>11800</v>
          </cell>
          <cell r="B1798" t="str">
            <v>*2 St John's Road</v>
          </cell>
        </row>
        <row r="1799">
          <cell r="A1799">
            <v>11801</v>
          </cell>
          <cell r="B1799" t="str">
            <v>*Adult CE-WBL Genera</v>
          </cell>
        </row>
        <row r="1800">
          <cell r="A1800">
            <v>11802</v>
          </cell>
          <cell r="B1800" t="str">
            <v>*General Advisors</v>
          </cell>
        </row>
        <row r="1801">
          <cell r="A1801">
            <v>11803</v>
          </cell>
          <cell r="B1801" t="str">
            <v>*55 Victoria Park</v>
          </cell>
        </row>
        <row r="1802">
          <cell r="A1802">
            <v>11804</v>
          </cell>
          <cell r="B1802" t="str">
            <v>*10 Chatsworth Rd</v>
          </cell>
        </row>
        <row r="1803">
          <cell r="A1803">
            <v>11805</v>
          </cell>
          <cell r="B1803" t="str">
            <v>*2 Woodside Drive</v>
          </cell>
        </row>
        <row r="1804">
          <cell r="A1804">
            <v>11806</v>
          </cell>
          <cell r="B1804" t="str">
            <v>*6 Hilltop Drive</v>
          </cell>
        </row>
        <row r="1805">
          <cell r="A1805">
            <v>11807</v>
          </cell>
          <cell r="B1805" t="str">
            <v>*Aim Higher Open Uni</v>
          </cell>
        </row>
        <row r="1806">
          <cell r="A1806">
            <v>11808</v>
          </cell>
          <cell r="B1806" t="str">
            <v>*Big Lottery Fund E</v>
          </cell>
        </row>
        <row r="1807">
          <cell r="A1807">
            <v>11809</v>
          </cell>
          <cell r="B1807" t="str">
            <v>*SS-Nat Pe&amp;Sport CP</v>
          </cell>
        </row>
        <row r="1808">
          <cell r="A1808">
            <v>11810</v>
          </cell>
          <cell r="B1808" t="str">
            <v>*SI - Golden Hello</v>
          </cell>
        </row>
        <row r="1809">
          <cell r="A1809">
            <v>11811</v>
          </cell>
          <cell r="B1809" t="str">
            <v>* Forbes Road</v>
          </cell>
        </row>
        <row r="1810">
          <cell r="A1810">
            <v>11812</v>
          </cell>
          <cell r="B1810" t="str">
            <v>*S2S-Comm Supp Coach</v>
          </cell>
        </row>
        <row r="1811">
          <cell r="A1811">
            <v>11813</v>
          </cell>
          <cell r="B1811" t="str">
            <v>*Tenancy- Central</v>
          </cell>
        </row>
        <row r="1812">
          <cell r="A1812">
            <v>11814</v>
          </cell>
          <cell r="B1812" t="str">
            <v>*Float Support Team</v>
          </cell>
        </row>
        <row r="1813">
          <cell r="A1813">
            <v>11815</v>
          </cell>
          <cell r="B1813" t="str">
            <v>*30 Victoria Park</v>
          </cell>
        </row>
        <row r="1814">
          <cell r="A1814">
            <v>11816</v>
          </cell>
          <cell r="B1814" t="str">
            <v>*Ld Non Health P/Shi</v>
          </cell>
        </row>
        <row r="1815">
          <cell r="A1815">
            <v>11817</v>
          </cell>
          <cell r="B1815" t="str">
            <v>*L B Richmond Income</v>
          </cell>
        </row>
        <row r="1816">
          <cell r="A1816">
            <v>11818</v>
          </cell>
          <cell r="B1816" t="str">
            <v>*Ld Stock Pct Dowrie</v>
          </cell>
        </row>
        <row r="1817">
          <cell r="A1817">
            <v>11819</v>
          </cell>
          <cell r="B1817" t="str">
            <v>*PShip Inc Nonhealth</v>
          </cell>
        </row>
        <row r="1818">
          <cell r="A1818">
            <v>11820</v>
          </cell>
          <cell r="B1818" t="str">
            <v>Pooled Budget Income</v>
          </cell>
        </row>
        <row r="1819">
          <cell r="A1819">
            <v>11821</v>
          </cell>
          <cell r="B1819" t="str">
            <v>*Inset 2006/07</v>
          </cell>
        </row>
        <row r="1820">
          <cell r="A1820">
            <v>11822</v>
          </cell>
          <cell r="B1820" t="str">
            <v>*LIDF: English&amp;Maths</v>
          </cell>
        </row>
        <row r="1821">
          <cell r="A1821">
            <v>11823</v>
          </cell>
          <cell r="B1821" t="str">
            <v>LD Assessment Team</v>
          </cell>
        </row>
        <row r="1822">
          <cell r="A1822">
            <v>11824</v>
          </cell>
          <cell r="B1822" t="str">
            <v>*Lds: Healthadmin</v>
          </cell>
        </row>
        <row r="1823">
          <cell r="A1823">
            <v>11825</v>
          </cell>
          <cell r="B1823" t="str">
            <v>*Ld Administration</v>
          </cell>
        </row>
        <row r="1824">
          <cell r="A1824">
            <v>11826</v>
          </cell>
          <cell r="B1824" t="str">
            <v>LD Physio Centre</v>
          </cell>
        </row>
        <row r="1825">
          <cell r="A1825">
            <v>11827</v>
          </cell>
          <cell r="B1825" t="str">
            <v>*LD Head of Service</v>
          </cell>
        </row>
        <row r="1826">
          <cell r="A1826">
            <v>11828</v>
          </cell>
          <cell r="B1826" t="str">
            <v>Ld Medical Services</v>
          </cell>
        </row>
        <row r="1827">
          <cell r="A1827">
            <v>11829</v>
          </cell>
          <cell r="B1827" t="str">
            <v>*Pct Control Account</v>
          </cell>
        </row>
        <row r="1828">
          <cell r="A1828">
            <v>11830</v>
          </cell>
          <cell r="B1828" t="str">
            <v>*Former Stands-Gener</v>
          </cell>
        </row>
        <row r="1829">
          <cell r="A1829">
            <v>11831</v>
          </cell>
          <cell r="B1829" t="str">
            <v>*Dev Childrens Svs</v>
          </cell>
        </row>
        <row r="1830">
          <cell r="A1830">
            <v>11832</v>
          </cell>
          <cell r="B1830" t="str">
            <v>*Ld Purchase Cre Mgt</v>
          </cell>
        </row>
        <row r="1831">
          <cell r="A1831">
            <v>11833</v>
          </cell>
          <cell r="B1831" t="str">
            <v>Ld Hunters Close</v>
          </cell>
        </row>
        <row r="1832">
          <cell r="A1832">
            <v>11834</v>
          </cell>
          <cell r="B1832" t="str">
            <v>*Independent Options</v>
          </cell>
        </row>
        <row r="1833">
          <cell r="A1833">
            <v>11835</v>
          </cell>
          <cell r="B1833" t="str">
            <v>SI - SACRE (RE)</v>
          </cell>
        </row>
        <row r="1834">
          <cell r="A1834">
            <v>11836</v>
          </cell>
          <cell r="B1834" t="str">
            <v>*Ld Purchase Norwood</v>
          </cell>
        </row>
        <row r="1835">
          <cell r="A1835">
            <v>11837</v>
          </cell>
          <cell r="B1835" t="str">
            <v>LD Care Purchasing</v>
          </cell>
        </row>
        <row r="1836">
          <cell r="A1836">
            <v>11838</v>
          </cell>
          <cell r="B1836" t="str">
            <v>*Emp Svces:Mcc Ld</v>
          </cell>
        </row>
        <row r="1837">
          <cell r="A1837">
            <v>11839</v>
          </cell>
          <cell r="B1837" t="str">
            <v>*Adults Project (Esf</v>
          </cell>
        </row>
        <row r="1838">
          <cell r="A1838">
            <v>11840</v>
          </cell>
          <cell r="B1838" t="str">
            <v>*Alexandra Pk Kiosk</v>
          </cell>
        </row>
        <row r="1839">
          <cell r="A1839">
            <v>11841</v>
          </cell>
          <cell r="B1839" t="str">
            <v>*Emp Svc Cheadle Lin</v>
          </cell>
        </row>
        <row r="1840">
          <cell r="A1840">
            <v>11842</v>
          </cell>
          <cell r="B1840" t="str">
            <v>*= P/Ners Diversity</v>
          </cell>
        </row>
        <row r="1841">
          <cell r="A1841">
            <v>11843</v>
          </cell>
          <cell r="B1841" t="str">
            <v>*= P/Ners Horizon P2</v>
          </cell>
        </row>
        <row r="1842">
          <cell r="A1842">
            <v>11844</v>
          </cell>
          <cell r="B1842" t="str">
            <v>*Etherow C Pk Café</v>
          </cell>
        </row>
        <row r="1843">
          <cell r="A1843">
            <v>11845</v>
          </cell>
          <cell r="B1843" t="str">
            <v>*Etherow C Pk Warden</v>
          </cell>
        </row>
        <row r="1844">
          <cell r="A1844">
            <v>11846</v>
          </cell>
          <cell r="B1844" t="str">
            <v>*Further Ed Fund Cl</v>
          </cell>
        </row>
        <row r="1845">
          <cell r="A1845">
            <v>11847</v>
          </cell>
          <cell r="B1845" t="str">
            <v>*Emp. Service Genera</v>
          </cell>
        </row>
        <row r="1846">
          <cell r="A1846">
            <v>11848</v>
          </cell>
          <cell r="B1846" t="str">
            <v>*Gen Mgnt Cty Link</v>
          </cell>
        </row>
        <row r="1847">
          <cell r="A1847">
            <v>11849</v>
          </cell>
          <cell r="B1847" t="str">
            <v>*Emp Svcs H.Moor Lin</v>
          </cell>
        </row>
        <row r="1848">
          <cell r="A1848">
            <v>11850</v>
          </cell>
          <cell r="B1848" t="str">
            <v>*Empserv:Inc Caterin</v>
          </cell>
        </row>
        <row r="1849">
          <cell r="A1849">
            <v>11851</v>
          </cell>
          <cell r="B1849" t="str">
            <v>*Emp Svces:Marple C</v>
          </cell>
        </row>
        <row r="1850">
          <cell r="A1850">
            <v>11852</v>
          </cell>
          <cell r="B1850" t="str">
            <v>*Pure Radio Project</v>
          </cell>
        </row>
        <row r="1851">
          <cell r="A1851">
            <v>11853</v>
          </cell>
          <cell r="B1851" t="str">
            <v>*Sand Hse Rest Proje</v>
          </cell>
        </row>
        <row r="1852">
          <cell r="A1852">
            <v>11854</v>
          </cell>
          <cell r="B1852" t="str">
            <v>*Empserv: Shelt Plac</v>
          </cell>
        </row>
        <row r="1853">
          <cell r="A1853">
            <v>11855</v>
          </cell>
          <cell r="B1853" t="str">
            <v>*Empserv: Shelt Plac</v>
          </cell>
        </row>
        <row r="1854">
          <cell r="A1854">
            <v>11856</v>
          </cell>
          <cell r="B1854" t="str">
            <v>*Emp Serv Yth Trans'</v>
          </cell>
        </row>
        <row r="1855">
          <cell r="A1855">
            <v>11857</v>
          </cell>
          <cell r="B1855" t="str">
            <v>*Adult Tc'S Ind Prov</v>
          </cell>
        </row>
        <row r="1856">
          <cell r="A1856">
            <v>11858</v>
          </cell>
          <cell r="B1856" t="str">
            <v>*Consultation</v>
          </cell>
        </row>
        <row r="1857">
          <cell r="A1857">
            <v>11859</v>
          </cell>
          <cell r="B1857" t="str">
            <v>*Carefirst FinProjec</v>
          </cell>
        </row>
        <row r="1858">
          <cell r="A1858">
            <v>11860</v>
          </cell>
          <cell r="B1858" t="str">
            <v>*IPT-Child Strat&amp;Per</v>
          </cell>
        </row>
        <row r="1859">
          <cell r="A1859">
            <v>11861</v>
          </cell>
          <cell r="B1859" t="str">
            <v>*IS&amp;P Complaints &amp;Re</v>
          </cell>
        </row>
        <row r="1860">
          <cell r="A1860">
            <v>11862</v>
          </cell>
          <cell r="B1860" t="str">
            <v>*Care Homes Con Uni</v>
          </cell>
        </row>
        <row r="1861">
          <cell r="A1861">
            <v>11863</v>
          </cell>
          <cell r="B1861" t="str">
            <v>Contracts SS Manager</v>
          </cell>
        </row>
        <row r="1862">
          <cell r="A1862">
            <v>11864</v>
          </cell>
          <cell r="B1862" t="str">
            <v>*E-Government Projec</v>
          </cell>
        </row>
        <row r="1863">
          <cell r="A1863">
            <v>11865</v>
          </cell>
          <cell r="B1863" t="str">
            <v>IS&amp;P Outofhours Svce</v>
          </cell>
        </row>
        <row r="1864">
          <cell r="A1864">
            <v>11866</v>
          </cell>
          <cell r="B1864" t="str">
            <v>*IS&amp;P Vmt Savings</v>
          </cell>
        </row>
        <row r="1865">
          <cell r="A1865">
            <v>11867</v>
          </cell>
          <cell r="B1865" t="str">
            <v>*IS&amp;P: Hsupp. Commis</v>
          </cell>
        </row>
        <row r="1866">
          <cell r="A1866">
            <v>11868</v>
          </cell>
          <cell r="B1866" t="str">
            <v>Pupil Premium Grant</v>
          </cell>
        </row>
        <row r="1867">
          <cell r="A1867">
            <v>11869</v>
          </cell>
          <cell r="B1867" t="str">
            <v>*SFYP Ed Welfare</v>
          </cell>
        </row>
        <row r="1868">
          <cell r="A1868">
            <v>11870</v>
          </cell>
          <cell r="B1868" t="str">
            <v>TM Contracts &amp; Comm</v>
          </cell>
        </row>
        <row r="1869">
          <cell r="A1869">
            <v>11871</v>
          </cell>
          <cell r="B1869" t="str">
            <v>*Information Systems</v>
          </cell>
        </row>
        <row r="1870">
          <cell r="A1870">
            <v>11872</v>
          </cell>
          <cell r="B1870" t="str">
            <v>Business Intelligenc</v>
          </cell>
        </row>
        <row r="1871">
          <cell r="A1871">
            <v>11873</v>
          </cell>
          <cell r="B1871" t="str">
            <v>Adults Management</v>
          </cell>
        </row>
        <row r="1872">
          <cell r="A1872">
            <v>11874</v>
          </cell>
          <cell r="B1872" t="str">
            <v>*IS&amp;P:Ponsonbycablin</v>
          </cell>
        </row>
        <row r="1873">
          <cell r="A1873">
            <v>11875</v>
          </cell>
          <cell r="B1873" t="str">
            <v>*Programme Managemen</v>
          </cell>
        </row>
        <row r="1874">
          <cell r="A1874">
            <v>11876</v>
          </cell>
          <cell r="B1874" t="str">
            <v>Modernisation</v>
          </cell>
        </row>
        <row r="1875">
          <cell r="A1875">
            <v>11877</v>
          </cell>
          <cell r="B1875" t="str">
            <v>*Transform ASC Grant</v>
          </cell>
        </row>
        <row r="1876">
          <cell r="A1876">
            <v>11878</v>
          </cell>
          <cell r="B1876" t="str">
            <v>AOM costs</v>
          </cell>
        </row>
        <row r="1877">
          <cell r="A1877">
            <v>11879</v>
          </cell>
          <cell r="B1877" t="str">
            <v>A&amp;C Payments Team</v>
          </cell>
        </row>
        <row r="1878">
          <cell r="A1878">
            <v>11880</v>
          </cell>
          <cell r="B1878" t="str">
            <v>*Ss&amp;Reg: Ad-Adults</v>
          </cell>
        </row>
        <row r="1879">
          <cell r="A1879">
            <v>11881</v>
          </cell>
          <cell r="B1879" t="str">
            <v>*IPT-C&amp;YP Comm/Publ</v>
          </cell>
        </row>
        <row r="1880">
          <cell r="A1880">
            <v>11882</v>
          </cell>
          <cell r="B1880" t="str">
            <v>*CSE-Participation</v>
          </cell>
        </row>
        <row r="1881">
          <cell r="A1881">
            <v>11883</v>
          </cell>
          <cell r="B1881" t="str">
            <v>*Ss&amp;Reg: Ad-S.&amp; Perf</v>
          </cell>
        </row>
        <row r="1882">
          <cell r="A1882">
            <v>11884</v>
          </cell>
          <cell r="B1882" t="str">
            <v>SS-Division&amp;Cent-Gen</v>
          </cell>
        </row>
        <row r="1883">
          <cell r="A1883">
            <v>11885</v>
          </cell>
          <cell r="B1883" t="str">
            <v>*SFYP-S-Opportunity</v>
          </cell>
        </row>
        <row r="1884">
          <cell r="A1884">
            <v>11886</v>
          </cell>
          <cell r="B1884" t="str">
            <v>*SFYP-S-Capital Fund</v>
          </cell>
        </row>
        <row r="1885">
          <cell r="A1885">
            <v>11887</v>
          </cell>
          <cell r="B1885" t="str">
            <v>*Staff Dev&amp;Tng Admin</v>
          </cell>
        </row>
        <row r="1886">
          <cell r="A1886">
            <v>11888</v>
          </cell>
          <cell r="B1886" t="str">
            <v>POD Workforce Dev</v>
          </cell>
        </row>
        <row r="1887">
          <cell r="A1887">
            <v>11889</v>
          </cell>
          <cell r="B1887" t="str">
            <v>*Staff Dev Ctre (A&amp;C</v>
          </cell>
        </row>
        <row r="1888">
          <cell r="A1888">
            <v>11890</v>
          </cell>
          <cell r="B1888" t="str">
            <v>*Staff D&amp;T:Child Pro</v>
          </cell>
        </row>
        <row r="1889">
          <cell r="A1889">
            <v>11891</v>
          </cell>
          <cell r="B1889" t="str">
            <v>*Staff D&amp;T:Child Svc</v>
          </cell>
        </row>
        <row r="1890">
          <cell r="A1890">
            <v>11892</v>
          </cell>
          <cell r="B1890" t="str">
            <v>*Employers Pilot</v>
          </cell>
        </row>
        <row r="1891">
          <cell r="A1891">
            <v>11893</v>
          </cell>
          <cell r="B1891" t="str">
            <v>*Staff Dev&amp;Tng: H&amp;S</v>
          </cell>
        </row>
        <row r="1892">
          <cell r="A1892">
            <v>11894</v>
          </cell>
          <cell r="B1892" t="str">
            <v>*HR Develop Strategy</v>
          </cell>
        </row>
        <row r="1893">
          <cell r="A1893">
            <v>11895</v>
          </cell>
          <cell r="B1893" t="str">
            <v>*Staff D&amp;T: Mgt Dev</v>
          </cell>
        </row>
        <row r="1894">
          <cell r="A1894">
            <v>11896</v>
          </cell>
          <cell r="B1894" t="str">
            <v>*Carers Training(A&amp;C</v>
          </cell>
        </row>
        <row r="1895">
          <cell r="A1895">
            <v>11897</v>
          </cell>
          <cell r="B1895" t="str">
            <v>*Staff Dev(A&amp;C)Grant</v>
          </cell>
        </row>
        <row r="1896">
          <cell r="A1896">
            <v>11898</v>
          </cell>
          <cell r="B1896" t="str">
            <v>*NVQ Assess Centre</v>
          </cell>
        </row>
        <row r="1897">
          <cell r="A1897">
            <v>11899</v>
          </cell>
          <cell r="B1897" t="str">
            <v>*Practice Lrning(A&amp;C</v>
          </cell>
        </row>
        <row r="1898">
          <cell r="A1898">
            <v>11900</v>
          </cell>
          <cell r="B1898" t="str">
            <v>*Qualityprotects Gra</v>
          </cell>
        </row>
        <row r="1899">
          <cell r="A1899">
            <v>11901</v>
          </cell>
          <cell r="B1899" t="str">
            <v>*Staffd&amp;T Reimb' Grn</v>
          </cell>
        </row>
        <row r="1900">
          <cell r="A1900">
            <v>11902</v>
          </cell>
          <cell r="B1900" t="str">
            <v>*Res Child Care Unit</v>
          </cell>
        </row>
        <row r="1901">
          <cell r="A1901">
            <v>11903</v>
          </cell>
          <cell r="B1901" t="str">
            <v>*Sd&amp;T:Studentsupport</v>
          </cell>
        </row>
        <row r="1902">
          <cell r="A1902">
            <v>11904</v>
          </cell>
          <cell r="B1902" t="str">
            <v>*Welfare Rights Cont</v>
          </cell>
        </row>
        <row r="1903">
          <cell r="A1903">
            <v>11905</v>
          </cell>
          <cell r="B1903" t="str">
            <v>*Cont To Welfare Rig</v>
          </cell>
        </row>
        <row r="1904">
          <cell r="A1904">
            <v>11906</v>
          </cell>
          <cell r="B1904" t="str">
            <v>*Safety Net Service</v>
          </cell>
        </row>
        <row r="1905">
          <cell r="A1905">
            <v>11907</v>
          </cell>
          <cell r="B1905" t="str">
            <v>Funded Nursing care</v>
          </cell>
        </row>
        <row r="1906">
          <cell r="A1906">
            <v>11908</v>
          </cell>
          <cell r="B1906" t="str">
            <v>*Funded Ncare-Genera</v>
          </cell>
        </row>
        <row r="1907">
          <cell r="A1907">
            <v>11909</v>
          </cell>
          <cell r="B1907" t="str">
            <v>FNC Self funders</v>
          </cell>
        </row>
        <row r="1908">
          <cell r="A1908">
            <v>11910</v>
          </cell>
          <cell r="B1908" t="str">
            <v>*Preserve Right Gran</v>
          </cell>
        </row>
        <row r="1909">
          <cell r="A1909">
            <v>11911</v>
          </cell>
          <cell r="B1909" t="str">
            <v>*Residential Allowan</v>
          </cell>
        </row>
        <row r="1910">
          <cell r="A1910">
            <v>11912</v>
          </cell>
          <cell r="B1910" t="str">
            <v>*Acc.&amp;Systems Age C</v>
          </cell>
        </row>
        <row r="1911">
          <cell r="A1911">
            <v>11913</v>
          </cell>
          <cell r="B1911" t="str">
            <v>E &amp; A Team 2</v>
          </cell>
        </row>
        <row r="1912">
          <cell r="A1912">
            <v>11914</v>
          </cell>
          <cell r="B1912" t="str">
            <v>*Acc&amp;System Ic Servs</v>
          </cell>
        </row>
        <row r="1913">
          <cell r="A1913">
            <v>11915</v>
          </cell>
          <cell r="B1913" t="str">
            <v>*Acc&amp;System Ic Op Sv</v>
          </cell>
        </row>
        <row r="1914">
          <cell r="A1914">
            <v>11916</v>
          </cell>
          <cell r="B1914" t="str">
            <v>*Acc&amp;System Safe@Hom</v>
          </cell>
        </row>
        <row r="1915">
          <cell r="A1915">
            <v>11917</v>
          </cell>
          <cell r="B1915" t="str">
            <v>*Carers Grant Scheme</v>
          </cell>
        </row>
        <row r="1916">
          <cell r="A1916">
            <v>11918</v>
          </cell>
          <cell r="B1916" t="str">
            <v>*Sto Interpreter Svc</v>
          </cell>
        </row>
        <row r="1917">
          <cell r="A1917">
            <v>11919</v>
          </cell>
          <cell r="B1917" t="str">
            <v>*Development Worker</v>
          </cell>
        </row>
        <row r="1918">
          <cell r="A1918">
            <v>11920</v>
          </cell>
          <cell r="B1918" t="str">
            <v>*Eval Intermediat C</v>
          </cell>
        </row>
        <row r="1919">
          <cell r="A1919">
            <v>11921</v>
          </cell>
          <cell r="B1919" t="str">
            <v>*Ad Swk Traineeship</v>
          </cell>
        </row>
        <row r="1920">
          <cell r="A1920">
            <v>11922</v>
          </cell>
          <cell r="B1920" t="str">
            <v>*Int Care Rch To Pct</v>
          </cell>
        </row>
        <row r="1921">
          <cell r="A1921">
            <v>11923</v>
          </cell>
          <cell r="B1921" t="str">
            <v>*Special Projects Ge</v>
          </cell>
        </row>
        <row r="1922">
          <cell r="A1922">
            <v>11924</v>
          </cell>
          <cell r="B1922" t="str">
            <v>*Hiv Project</v>
          </cell>
        </row>
        <row r="1923">
          <cell r="A1923">
            <v>11925</v>
          </cell>
          <cell r="B1923" t="str">
            <v>*Carers Grant scheme</v>
          </cell>
        </row>
        <row r="1924">
          <cell r="A1924">
            <v>11926</v>
          </cell>
          <cell r="B1924" t="str">
            <v>*Perffund-Proj Mgr</v>
          </cell>
        </row>
        <row r="1925">
          <cell r="A1925">
            <v>11927</v>
          </cell>
          <cell r="B1925" t="str">
            <v>*Perffund-Shelt. Hsg</v>
          </cell>
        </row>
        <row r="1926">
          <cell r="A1926">
            <v>11928</v>
          </cell>
          <cell r="B1926" t="str">
            <v>*Reimb G-6 Month Sw</v>
          </cell>
        </row>
        <row r="1927">
          <cell r="A1927">
            <v>11929</v>
          </cell>
          <cell r="B1927" t="str">
            <v>*Reimb Grant-Age Con</v>
          </cell>
        </row>
        <row r="1928">
          <cell r="A1928">
            <v>11930</v>
          </cell>
          <cell r="B1928" t="str">
            <v>*Reimb Grant-Ic Pack</v>
          </cell>
        </row>
        <row r="1929">
          <cell r="A1929">
            <v>11931</v>
          </cell>
          <cell r="B1929" t="str">
            <v>*Reimb Grant-Protoco</v>
          </cell>
        </row>
        <row r="1930">
          <cell r="A1930">
            <v>11932</v>
          </cell>
          <cell r="B1930" t="str">
            <v>*Reimb G-Retire. Fun</v>
          </cell>
        </row>
        <row r="1931">
          <cell r="A1931">
            <v>11933</v>
          </cell>
          <cell r="B1931" t="str">
            <v>*Reimb Gr-Socwk Adm</v>
          </cell>
        </row>
        <row r="1932">
          <cell r="A1932">
            <v>11934</v>
          </cell>
          <cell r="B1932" t="str">
            <v>*Reimb Grnt-Tracksta</v>
          </cell>
        </row>
        <row r="1933">
          <cell r="A1933">
            <v>11935</v>
          </cell>
          <cell r="B1933" t="str">
            <v>*Reimb Grant-Tng</v>
          </cell>
        </row>
        <row r="1934">
          <cell r="A1934">
            <v>11936</v>
          </cell>
          <cell r="B1934" t="str">
            <v>*Reimb grant-Step up</v>
          </cell>
        </row>
        <row r="1935">
          <cell r="A1935">
            <v>11937</v>
          </cell>
          <cell r="B1935" t="str">
            <v>Single Asses. F/Work</v>
          </cell>
        </row>
        <row r="1936">
          <cell r="A1936">
            <v>11938</v>
          </cell>
          <cell r="B1936" t="str">
            <v>*Interpreter Service</v>
          </cell>
        </row>
        <row r="1937">
          <cell r="A1937">
            <v>11939</v>
          </cell>
          <cell r="B1937" t="str">
            <v>U-Hb Rent Rebates</v>
          </cell>
        </row>
        <row r="1938">
          <cell r="A1938">
            <v>11940</v>
          </cell>
          <cell r="B1938" t="str">
            <v>*LAA GCSE Target</v>
          </cell>
        </row>
        <row r="1939">
          <cell r="A1939">
            <v>11941</v>
          </cell>
          <cell r="B1939" t="str">
            <v>*HSNG Benefit Overpa</v>
          </cell>
        </row>
        <row r="1940">
          <cell r="A1940">
            <v>11942</v>
          </cell>
          <cell r="B1940" t="str">
            <v>*Sec Dev. Hazel Grov</v>
          </cell>
        </row>
        <row r="1941">
          <cell r="A1941">
            <v>11943</v>
          </cell>
          <cell r="B1941" t="str">
            <v>Telephones</v>
          </cell>
        </row>
        <row r="1942">
          <cell r="A1942">
            <v>11944</v>
          </cell>
          <cell r="B1942" t="str">
            <v>*Joint working schem</v>
          </cell>
        </row>
        <row r="1943">
          <cell r="A1943">
            <v>11945</v>
          </cell>
          <cell r="B1943" t="str">
            <v>*Holidays Che/Br'Hal</v>
          </cell>
        </row>
        <row r="1944">
          <cell r="A1944">
            <v>11946</v>
          </cell>
          <cell r="B1944" t="str">
            <v>*Holidays Heathbank</v>
          </cell>
        </row>
        <row r="1945">
          <cell r="A1945">
            <v>11947</v>
          </cell>
          <cell r="B1945" t="str">
            <v>*Holidays Heatons/Re</v>
          </cell>
        </row>
        <row r="1946">
          <cell r="A1946">
            <v>11948</v>
          </cell>
          <cell r="B1946" t="str">
            <v>*Holidays General</v>
          </cell>
        </row>
        <row r="1947">
          <cell r="A1947">
            <v>11949</v>
          </cell>
          <cell r="B1947" t="str">
            <v>*Holidays Marple/Wer</v>
          </cell>
        </row>
        <row r="1948">
          <cell r="A1948">
            <v>11950</v>
          </cell>
          <cell r="B1948" t="str">
            <v>*Holidays Stepping H</v>
          </cell>
        </row>
        <row r="1949">
          <cell r="A1949">
            <v>11951</v>
          </cell>
          <cell r="B1949" t="str">
            <v>*16+ Lodgings Svcs</v>
          </cell>
        </row>
        <row r="1950">
          <cell r="A1950">
            <v>11952</v>
          </cell>
          <cell r="B1950" t="str">
            <v>*Employment Services</v>
          </cell>
        </row>
        <row r="1951">
          <cell r="A1951">
            <v>11953</v>
          </cell>
          <cell r="B1951" t="str">
            <v>*SP Grant LD Service</v>
          </cell>
        </row>
        <row r="1952">
          <cell r="A1952">
            <v>11954</v>
          </cell>
          <cell r="B1952" t="str">
            <v>*SP Grant MH Service</v>
          </cell>
        </row>
        <row r="1953">
          <cell r="A1953">
            <v>11955</v>
          </cell>
          <cell r="B1953" t="str">
            <v>*Right to Control</v>
          </cell>
        </row>
        <row r="1954">
          <cell r="A1954">
            <v>11956</v>
          </cell>
          <cell r="B1954" t="str">
            <v>*SP Grant PD Service</v>
          </cell>
        </row>
        <row r="1955">
          <cell r="A1955">
            <v>11957</v>
          </cell>
          <cell r="B1955" t="str">
            <v>*Adults Car Leases</v>
          </cell>
        </row>
        <row r="1956">
          <cell r="A1956">
            <v>11958</v>
          </cell>
          <cell r="B1956" t="str">
            <v>*Shelt Placemnt Schm</v>
          </cell>
        </row>
        <row r="1957">
          <cell r="A1957">
            <v>11959</v>
          </cell>
          <cell r="B1957" t="str">
            <v>Network Assets Staff</v>
          </cell>
        </row>
        <row r="1958">
          <cell r="A1958">
            <v>11960</v>
          </cell>
          <cell r="B1958" t="str">
            <v>D &amp; I Team</v>
          </cell>
        </row>
        <row r="1959">
          <cell r="A1959">
            <v>11961</v>
          </cell>
          <cell r="B1959" t="str">
            <v>Rechargeable work</v>
          </cell>
        </row>
        <row r="1960">
          <cell r="A1960">
            <v>11962</v>
          </cell>
          <cell r="B1960" t="str">
            <v>Highways-Cycle Train</v>
          </cell>
        </row>
        <row r="1961">
          <cell r="A1961">
            <v>11963</v>
          </cell>
          <cell r="B1961" t="str">
            <v>ECS Technical Suppor</v>
          </cell>
        </row>
        <row r="1962">
          <cell r="A1962">
            <v>11964</v>
          </cell>
          <cell r="B1962" t="str">
            <v>*Highways Eng&amp;Bridge</v>
          </cell>
        </row>
        <row r="1963">
          <cell r="A1963">
            <v>11965</v>
          </cell>
          <cell r="B1963" t="str">
            <v>Design Frmwk Staff</v>
          </cell>
        </row>
        <row r="1964">
          <cell r="A1964">
            <v>11966</v>
          </cell>
          <cell r="B1964" t="str">
            <v>Highways Advertising</v>
          </cell>
        </row>
        <row r="1965">
          <cell r="A1965">
            <v>11967</v>
          </cell>
          <cell r="B1965" t="str">
            <v>*Highways-Kerbcraft</v>
          </cell>
        </row>
        <row r="1966">
          <cell r="A1966">
            <v>11968</v>
          </cell>
          <cell r="B1966" t="str">
            <v>Highways-Network Man</v>
          </cell>
        </row>
        <row r="1967">
          <cell r="A1967">
            <v>11969</v>
          </cell>
          <cell r="B1967" t="str">
            <v>*Network Managemen</v>
          </cell>
        </row>
        <row r="1968">
          <cell r="A1968">
            <v>11970</v>
          </cell>
          <cell r="B1968" t="str">
            <v>Highways-Road Safety</v>
          </cell>
        </row>
        <row r="1969">
          <cell r="A1969">
            <v>11971</v>
          </cell>
          <cell r="B1969" t="str">
            <v>*School Travel Co-Or</v>
          </cell>
        </row>
        <row r="1970">
          <cell r="A1970">
            <v>11972</v>
          </cell>
          <cell r="B1970" t="str">
            <v>*ECS Highway Design</v>
          </cell>
        </row>
        <row r="1971">
          <cell r="A1971">
            <v>11973</v>
          </cell>
          <cell r="B1971" t="str">
            <v>Spatial Intelligence</v>
          </cell>
        </row>
        <row r="1972">
          <cell r="A1972">
            <v>11974</v>
          </cell>
          <cell r="B1972" t="str">
            <v>*</v>
          </cell>
        </row>
        <row r="1973">
          <cell r="A1973">
            <v>11975</v>
          </cell>
          <cell r="B1973" t="str">
            <v>Highway Structs R+R</v>
          </cell>
        </row>
        <row r="1974">
          <cell r="A1974">
            <v>11976</v>
          </cell>
          <cell r="B1974" t="str">
            <v>Streetworks Staff</v>
          </cell>
        </row>
        <row r="1975">
          <cell r="A1975">
            <v>11977</v>
          </cell>
          <cell r="B1975" t="str">
            <v>Directorate C&amp;H</v>
          </cell>
        </row>
        <row r="1976">
          <cell r="A1976">
            <v>11978</v>
          </cell>
          <cell r="B1976" t="str">
            <v>SLA Gully Cleansing</v>
          </cell>
        </row>
        <row r="1977">
          <cell r="A1977">
            <v>11979</v>
          </cell>
          <cell r="B1977" t="str">
            <v>St Peter's Square</v>
          </cell>
        </row>
        <row r="1978">
          <cell r="A1978">
            <v>11980</v>
          </cell>
          <cell r="B1978" t="str">
            <v>*Parks Footways &amp;Acc</v>
          </cell>
        </row>
        <row r="1979">
          <cell r="A1979">
            <v>11981</v>
          </cell>
          <cell r="B1979" t="str">
            <v>*SLA Drainage R R</v>
          </cell>
        </row>
        <row r="1980">
          <cell r="A1980">
            <v>11982</v>
          </cell>
          <cell r="B1980" t="str">
            <v>Deposit Struct Sec 2</v>
          </cell>
        </row>
        <row r="1981">
          <cell r="A1981">
            <v>11983</v>
          </cell>
          <cell r="B1981" t="str">
            <v>*Highways Insurance</v>
          </cell>
        </row>
        <row r="1982">
          <cell r="A1982">
            <v>11984</v>
          </cell>
          <cell r="B1982" t="str">
            <v>SLA Safety Detect R</v>
          </cell>
        </row>
        <row r="1983">
          <cell r="A1983">
            <v>11985</v>
          </cell>
          <cell r="B1983" t="str">
            <v>*SLA Signs &amp; Namepla</v>
          </cell>
        </row>
        <row r="1984">
          <cell r="A1984">
            <v>11986</v>
          </cell>
          <cell r="B1984" t="str">
            <v>SLA Highways Cyclic</v>
          </cell>
        </row>
        <row r="1985">
          <cell r="A1985">
            <v>11987</v>
          </cell>
          <cell r="B1985" t="str">
            <v>Road Lining</v>
          </cell>
        </row>
        <row r="1986">
          <cell r="A1986">
            <v>11988</v>
          </cell>
          <cell r="B1986" t="str">
            <v>Planned Patching Rep</v>
          </cell>
        </row>
        <row r="1987">
          <cell r="A1987">
            <v>11989</v>
          </cell>
          <cell r="B1987" t="str">
            <v>*</v>
          </cell>
        </row>
        <row r="1988">
          <cell r="A1988">
            <v>11990</v>
          </cell>
          <cell r="B1988" t="str">
            <v>*</v>
          </cell>
        </row>
        <row r="1989">
          <cell r="A1989">
            <v>11991</v>
          </cell>
          <cell r="B1989" t="str">
            <v>*</v>
          </cell>
        </row>
        <row r="1990">
          <cell r="A1990">
            <v>11992</v>
          </cell>
          <cell r="B1990" t="str">
            <v>*</v>
          </cell>
        </row>
        <row r="1991">
          <cell r="A1991">
            <v>11993</v>
          </cell>
          <cell r="B1991" t="str">
            <v>Emplmt Skills Adviso</v>
          </cell>
        </row>
        <row r="1992">
          <cell r="A1992">
            <v>11994</v>
          </cell>
          <cell r="B1992" t="str">
            <v>*</v>
          </cell>
        </row>
        <row r="1993">
          <cell r="A1993">
            <v>11995</v>
          </cell>
          <cell r="B1993" t="str">
            <v>Struc Test of Column</v>
          </cell>
        </row>
        <row r="1994">
          <cell r="A1994">
            <v>11996</v>
          </cell>
          <cell r="B1994" t="str">
            <v>Highway Walls &amp; Safe</v>
          </cell>
        </row>
        <row r="1995">
          <cell r="A1995">
            <v>11997</v>
          </cell>
          <cell r="B1995" t="str">
            <v>*Highways-Stratc Rds</v>
          </cell>
        </row>
        <row r="1996">
          <cell r="A1996">
            <v>11998</v>
          </cell>
          <cell r="B1996" t="str">
            <v>Passages Rail &amp; Marr</v>
          </cell>
        </row>
        <row r="1997">
          <cell r="A1997">
            <v>11999</v>
          </cell>
          <cell r="B1997" t="str">
            <v>*SLA Emergency Call</v>
          </cell>
        </row>
        <row r="1998">
          <cell r="A1998">
            <v>12000</v>
          </cell>
          <cell r="B1998" t="str">
            <v>Highways-All Areas</v>
          </cell>
        </row>
        <row r="1999">
          <cell r="A1999">
            <v>12001</v>
          </cell>
          <cell r="B1999" t="str">
            <v>Bramhall North Ward</v>
          </cell>
        </row>
        <row r="2000">
          <cell r="A2000">
            <v>12002</v>
          </cell>
          <cell r="B2000" t="str">
            <v>Bramhall South Ward</v>
          </cell>
        </row>
        <row r="2001">
          <cell r="A2001">
            <v>12003</v>
          </cell>
          <cell r="B2001" t="str">
            <v>Bredbury &amp; Woodley W</v>
          </cell>
        </row>
        <row r="2002">
          <cell r="A2002">
            <v>12004</v>
          </cell>
          <cell r="B2002" t="str">
            <v>Brinnington &amp; Centra</v>
          </cell>
        </row>
        <row r="2003">
          <cell r="A2003">
            <v>12005</v>
          </cell>
          <cell r="B2003" t="str">
            <v>Davenport &amp; Cale Gre</v>
          </cell>
        </row>
        <row r="2004">
          <cell r="A2004">
            <v>12006</v>
          </cell>
          <cell r="B2004" t="str">
            <v>Cheadle Hulme Nth Wa</v>
          </cell>
        </row>
        <row r="2005">
          <cell r="A2005">
            <v>12007</v>
          </cell>
          <cell r="B2005" t="str">
            <v>Cheadle Hulme Sth Wa</v>
          </cell>
        </row>
        <row r="2006">
          <cell r="A2006">
            <v>12008</v>
          </cell>
          <cell r="B2006" t="str">
            <v>Cheadle &amp; Gatley War</v>
          </cell>
        </row>
        <row r="2007">
          <cell r="A2007">
            <v>12009</v>
          </cell>
          <cell r="B2007" t="str">
            <v>Highways-Davenport W</v>
          </cell>
        </row>
        <row r="2008">
          <cell r="A2008">
            <v>12010</v>
          </cell>
          <cell r="B2008" t="str">
            <v>Deposit Cyc Sec 278</v>
          </cell>
        </row>
        <row r="2009">
          <cell r="A2009">
            <v>12011</v>
          </cell>
          <cell r="B2009" t="str">
            <v>Edgeley &amp; Cheadle He</v>
          </cell>
        </row>
        <row r="2010">
          <cell r="A2010">
            <v>12012</v>
          </cell>
          <cell r="B2010" t="str">
            <v>Stepping Hill Ward</v>
          </cell>
        </row>
        <row r="2011">
          <cell r="A2011">
            <v>12013</v>
          </cell>
          <cell r="B2011" t="str">
            <v>CF Highways Cyclic M</v>
          </cell>
        </row>
        <row r="2012">
          <cell r="A2012">
            <v>12014</v>
          </cell>
          <cell r="B2012" t="str">
            <v>Offerton Ward</v>
          </cell>
        </row>
        <row r="2013">
          <cell r="A2013">
            <v>12015</v>
          </cell>
          <cell r="B2013" t="str">
            <v>Hazel Grove Ward</v>
          </cell>
        </row>
        <row r="2014">
          <cell r="A2014">
            <v>12016</v>
          </cell>
          <cell r="B2014" t="str">
            <v>Heald Green Ward</v>
          </cell>
        </row>
        <row r="2015">
          <cell r="A2015">
            <v>12017</v>
          </cell>
          <cell r="B2015" t="str">
            <v>Heatons North Ward</v>
          </cell>
        </row>
        <row r="2016">
          <cell r="A2016">
            <v>12018</v>
          </cell>
          <cell r="B2016" t="str">
            <v>Heatons South Ward</v>
          </cell>
        </row>
        <row r="2017">
          <cell r="A2017">
            <v>12019</v>
          </cell>
          <cell r="B2017" t="str">
            <v>Manor Ward</v>
          </cell>
        </row>
        <row r="2018">
          <cell r="A2018">
            <v>12020</v>
          </cell>
          <cell r="B2018" t="str">
            <v>Marple North Ward</v>
          </cell>
        </row>
        <row r="2019">
          <cell r="A2019">
            <v>12021</v>
          </cell>
          <cell r="B2019" t="str">
            <v>Marple South Ward</v>
          </cell>
        </row>
        <row r="2020">
          <cell r="A2020">
            <v>12022</v>
          </cell>
          <cell r="B2020" t="str">
            <v>Vehicle Crossings</v>
          </cell>
        </row>
        <row r="2021">
          <cell r="A2021">
            <v>12023</v>
          </cell>
          <cell r="B2021" t="str">
            <v>Reddish North Ward</v>
          </cell>
        </row>
        <row r="2022">
          <cell r="A2022">
            <v>12024</v>
          </cell>
          <cell r="B2022" t="str">
            <v>Reddish South Ward</v>
          </cell>
        </row>
        <row r="2023">
          <cell r="A2023">
            <v>12025</v>
          </cell>
          <cell r="B2023" t="str">
            <v>Bredbury &amp; Romiley W</v>
          </cell>
        </row>
        <row r="2024">
          <cell r="A2024">
            <v>12026</v>
          </cell>
          <cell r="B2024" t="str">
            <v>SLA Street Lighting</v>
          </cell>
        </row>
        <row r="2025">
          <cell r="A2025">
            <v>12027</v>
          </cell>
          <cell r="B2025" t="str">
            <v>*SLA Ill Bollards &amp;S</v>
          </cell>
        </row>
        <row r="2026">
          <cell r="A2026">
            <v>12028</v>
          </cell>
          <cell r="B2026" t="str">
            <v>Struct Test of Signs</v>
          </cell>
        </row>
        <row r="2027">
          <cell r="A2027">
            <v>12029</v>
          </cell>
          <cell r="B2027" t="str">
            <v>*CF St Lighting Main</v>
          </cell>
        </row>
        <row r="2028">
          <cell r="A2028">
            <v>12030</v>
          </cell>
          <cell r="B2028" t="str">
            <v>*SLA Bulk Change &amp; C</v>
          </cell>
        </row>
        <row r="2029">
          <cell r="A2029">
            <v>12031</v>
          </cell>
          <cell r="B2029" t="str">
            <v>Street Lighting Ener</v>
          </cell>
        </row>
        <row r="2030">
          <cell r="A2030">
            <v>12032</v>
          </cell>
          <cell r="B2030" t="str">
            <v>Weed Control</v>
          </cell>
        </row>
        <row r="2031">
          <cell r="A2031">
            <v>12033</v>
          </cell>
          <cell r="B2031" t="str">
            <v>Gritting</v>
          </cell>
        </row>
        <row r="2032">
          <cell r="A2032">
            <v>12034</v>
          </cell>
          <cell r="B2032" t="str">
            <v>*Winter-Strategic Rd</v>
          </cell>
        </row>
        <row r="2033">
          <cell r="A2033">
            <v>12035</v>
          </cell>
          <cell r="B2033" t="str">
            <v>Traffic &amp;S-Bramhall</v>
          </cell>
        </row>
        <row r="2034">
          <cell r="A2034">
            <v>12036</v>
          </cell>
          <cell r="B2034" t="str">
            <v>Traffic &amp;S-Cheadle</v>
          </cell>
        </row>
        <row r="2035">
          <cell r="A2035">
            <v>12037</v>
          </cell>
          <cell r="B2035" t="str">
            <v>*Traffic &amp;S-Cheadle</v>
          </cell>
        </row>
        <row r="2036">
          <cell r="A2036">
            <v>12038</v>
          </cell>
          <cell r="B2036" t="str">
            <v>*Traffic &amp;S-Cheadle</v>
          </cell>
        </row>
        <row r="2037">
          <cell r="A2037">
            <v>12039</v>
          </cell>
          <cell r="B2037" t="str">
            <v>*Traffic &amp;S-Dev Fund</v>
          </cell>
        </row>
        <row r="2038">
          <cell r="A2038">
            <v>12040</v>
          </cell>
          <cell r="B2038" t="str">
            <v>*Traffic &amp;S-District</v>
          </cell>
        </row>
        <row r="2039">
          <cell r="A2039">
            <v>12041</v>
          </cell>
          <cell r="B2039" t="str">
            <v>*Traffic&amp;S-Edgeley</v>
          </cell>
        </row>
        <row r="2040">
          <cell r="A2040">
            <v>12042</v>
          </cell>
          <cell r="B2040" t="str">
            <v>Traffic &amp; S-4 Heaton</v>
          </cell>
        </row>
        <row r="2041">
          <cell r="A2041">
            <v>12043</v>
          </cell>
          <cell r="B2041" t="str">
            <v>*Traffic &amp; Safety</v>
          </cell>
        </row>
        <row r="2042">
          <cell r="A2042">
            <v>12044</v>
          </cell>
          <cell r="B2042" t="str">
            <v>*Traffic &amp;S-Hazel Gr</v>
          </cell>
        </row>
        <row r="2043">
          <cell r="A2043">
            <v>12045</v>
          </cell>
          <cell r="B2043" t="str">
            <v>*Traffic&amp;S-Heathbank</v>
          </cell>
        </row>
        <row r="2044">
          <cell r="A2044">
            <v>12046</v>
          </cell>
          <cell r="B2044" t="str">
            <v>*Marple Area Committ</v>
          </cell>
        </row>
        <row r="2045">
          <cell r="A2045">
            <v>12047</v>
          </cell>
          <cell r="B2045" t="str">
            <v>*Marple DC (Excludi</v>
          </cell>
        </row>
        <row r="2046">
          <cell r="A2046">
            <v>12048</v>
          </cell>
          <cell r="B2046" t="str">
            <v>*Traffic &amp; S-Reddish</v>
          </cell>
        </row>
        <row r="2047">
          <cell r="A2047">
            <v>12049</v>
          </cell>
          <cell r="B2047" t="str">
            <v>*Traffic&amp; S-Romiley</v>
          </cell>
        </row>
        <row r="2048">
          <cell r="A2048">
            <v>12050</v>
          </cell>
          <cell r="B2048" t="str">
            <v>*Traffic &amp;S-Stepping</v>
          </cell>
        </row>
        <row r="2049">
          <cell r="A2049">
            <v>12051</v>
          </cell>
          <cell r="B2049" t="str">
            <v>*Traffic&amp;S-Stratc Rd</v>
          </cell>
        </row>
        <row r="2050">
          <cell r="A2050">
            <v>12052</v>
          </cell>
          <cell r="B2050" t="str">
            <v>*Traffic&amp;S-Tame Vall</v>
          </cell>
        </row>
        <row r="2051">
          <cell r="A2051">
            <v>12053</v>
          </cell>
          <cell r="B2051" t="str">
            <v>*Traffic &amp;S-T.Centre</v>
          </cell>
        </row>
        <row r="2052">
          <cell r="A2052">
            <v>12054</v>
          </cell>
          <cell r="B2052" t="str">
            <v>Traffic &amp; Safety Gen</v>
          </cell>
        </row>
        <row r="2053">
          <cell r="A2053">
            <v>12055</v>
          </cell>
          <cell r="B2053" t="str">
            <v>*Traffic &amp;S-Unclass</v>
          </cell>
        </row>
        <row r="2054">
          <cell r="A2054">
            <v>12056</v>
          </cell>
          <cell r="B2054" t="str">
            <v>*Traffic &amp;S-Werneth</v>
          </cell>
        </row>
        <row r="2055">
          <cell r="A2055">
            <v>12057</v>
          </cell>
          <cell r="B2055" t="str">
            <v>School Cross Patrol</v>
          </cell>
        </row>
        <row r="2056">
          <cell r="A2056">
            <v>12058</v>
          </cell>
          <cell r="B2056" t="str">
            <v>U-CA Levy Transport</v>
          </cell>
        </row>
        <row r="2057">
          <cell r="A2057">
            <v>12059</v>
          </cell>
          <cell r="B2057" t="str">
            <v>EED-Appropriation Ac</v>
          </cell>
        </row>
        <row r="2058">
          <cell r="A2058">
            <v>12060</v>
          </cell>
          <cell r="B2058" t="str">
            <v>*TC-CYP-App Acc</v>
          </cell>
        </row>
        <row r="2059">
          <cell r="A2059">
            <v>12061</v>
          </cell>
          <cell r="B2059" t="str">
            <v>*AC-Appropriation Ac</v>
          </cell>
        </row>
        <row r="2060">
          <cell r="A2060">
            <v>12062</v>
          </cell>
          <cell r="B2060" t="str">
            <v>Redrock IE</v>
          </cell>
        </row>
        <row r="2061">
          <cell r="A2061">
            <v>12063</v>
          </cell>
          <cell r="B2061" t="str">
            <v>*B.S-Appropriation A</v>
          </cell>
        </row>
        <row r="2062">
          <cell r="A2062">
            <v>12064</v>
          </cell>
          <cell r="B2062" t="str">
            <v>Ac/Hra -Appropriatio</v>
          </cell>
        </row>
        <row r="2063">
          <cell r="A2063">
            <v>12065</v>
          </cell>
          <cell r="B2063" t="str">
            <v>Council House Insura</v>
          </cell>
        </row>
        <row r="2064">
          <cell r="A2064">
            <v>12066</v>
          </cell>
          <cell r="B2064" t="str">
            <v>Property Services In</v>
          </cell>
        </row>
        <row r="2065">
          <cell r="A2065">
            <v>12067</v>
          </cell>
          <cell r="B2065" t="str">
            <v>CF- C Tax Income A/C</v>
          </cell>
        </row>
        <row r="2066">
          <cell r="A2066">
            <v>12068</v>
          </cell>
          <cell r="B2066" t="str">
            <v>CF -NNDR Income A/C</v>
          </cell>
        </row>
        <row r="2067">
          <cell r="A2067">
            <v>12069</v>
          </cell>
          <cell r="B2067" t="str">
            <v>CF -C. Taxpayers A/C</v>
          </cell>
        </row>
        <row r="2068">
          <cell r="A2068">
            <v>12070</v>
          </cell>
          <cell r="B2068" t="str">
            <v>CF-NNDR Payers A/C</v>
          </cell>
        </row>
        <row r="2069">
          <cell r="A2069">
            <v>12071</v>
          </cell>
          <cell r="B2069" t="str">
            <v>CF -C Tax Costs  A/C</v>
          </cell>
        </row>
        <row r="2070">
          <cell r="A2070">
            <v>12072</v>
          </cell>
          <cell r="B2070" t="str">
            <v>U-Local Govt Superan</v>
          </cell>
        </row>
        <row r="2071">
          <cell r="A2071">
            <v>12073</v>
          </cell>
          <cell r="B2071" t="str">
            <v>Coll Fund-Rev-NNDR</v>
          </cell>
        </row>
        <row r="2072">
          <cell r="A2072">
            <v>12074</v>
          </cell>
          <cell r="B2072" t="str">
            <v>Coll Fund-Rev C.Tax</v>
          </cell>
        </row>
        <row r="2073">
          <cell r="A2073">
            <v>12075</v>
          </cell>
          <cell r="B2073" t="str">
            <v>Gm Residuary Body</v>
          </cell>
        </row>
        <row r="2074">
          <cell r="A2074">
            <v>12076</v>
          </cell>
          <cell r="B2074" t="str">
            <v>*Ins: S/I Settlement</v>
          </cell>
        </row>
        <row r="2075">
          <cell r="A2075">
            <v>12077</v>
          </cell>
          <cell r="B2075" t="str">
            <v>*Council House Dfg A</v>
          </cell>
        </row>
        <row r="2076">
          <cell r="A2076">
            <v>12078</v>
          </cell>
          <cell r="B2076" t="str">
            <v>Pru Borrowing Rechar</v>
          </cell>
        </row>
        <row r="2077">
          <cell r="A2077">
            <v>12079</v>
          </cell>
          <cell r="B2077" t="str">
            <v>CF -NNDR Costs Ac</v>
          </cell>
        </row>
        <row r="2078">
          <cell r="A2078">
            <v>12101</v>
          </cell>
          <cell r="B2078" t="str">
            <v>*Recovery Team (SocC</v>
          </cell>
        </row>
        <row r="2079">
          <cell r="A2079">
            <v>12102</v>
          </cell>
          <cell r="B2079" t="str">
            <v>Local Election</v>
          </cell>
        </row>
        <row r="2080">
          <cell r="A2080">
            <v>12103</v>
          </cell>
          <cell r="B2080" t="str">
            <v>Parliment&amp;O Election</v>
          </cell>
        </row>
        <row r="2081">
          <cell r="A2081">
            <v>12104</v>
          </cell>
          <cell r="B2081" t="str">
            <v>*Local Bye Election</v>
          </cell>
        </row>
        <row r="2082">
          <cell r="A2082">
            <v>12105</v>
          </cell>
          <cell r="B2082" t="str">
            <v>*Parliamentary : Sto</v>
          </cell>
        </row>
        <row r="2083">
          <cell r="A2083">
            <v>12106</v>
          </cell>
          <cell r="B2083" t="str">
            <v>IT Traded (SHG)</v>
          </cell>
        </row>
        <row r="2084">
          <cell r="A2084">
            <v>12107</v>
          </cell>
          <cell r="B2084" t="str">
            <v>*Parliamentary : Haz</v>
          </cell>
        </row>
        <row r="2085">
          <cell r="A2085">
            <v>12108</v>
          </cell>
          <cell r="B2085" t="str">
            <v>*FT Hospital</v>
          </cell>
        </row>
        <row r="2086">
          <cell r="A2086">
            <v>12109</v>
          </cell>
          <cell r="B2086" t="str">
            <v>*IT Trading</v>
          </cell>
        </row>
        <row r="2087">
          <cell r="A2087">
            <v>12110</v>
          </cell>
          <cell r="B2087" t="str">
            <v>Non Standard Electio</v>
          </cell>
        </row>
        <row r="2088">
          <cell r="A2088">
            <v>12111</v>
          </cell>
          <cell r="B2088" t="str">
            <v>Referendum Elections</v>
          </cell>
        </row>
        <row r="2089">
          <cell r="A2089">
            <v>12112</v>
          </cell>
          <cell r="B2089" t="str">
            <v>*Ed Improvement Part</v>
          </cell>
        </row>
        <row r="2090">
          <cell r="A2090">
            <v>12113</v>
          </cell>
          <cell r="B2090" t="str">
            <v>*School Devleopment</v>
          </cell>
        </row>
        <row r="2091">
          <cell r="A2091">
            <v>12114</v>
          </cell>
          <cell r="B2091" t="str">
            <v>*SI - SF : SDG Inclu</v>
          </cell>
        </row>
        <row r="2092">
          <cell r="A2092">
            <v>12115</v>
          </cell>
          <cell r="B2092" t="str">
            <v>*SI - Sch Supp Staff</v>
          </cell>
        </row>
        <row r="2093">
          <cell r="A2093">
            <v>12116</v>
          </cell>
          <cell r="B2093" t="str">
            <v>*S2S-Rec+Sport Cons</v>
          </cell>
        </row>
        <row r="2094">
          <cell r="A2094">
            <v>12117</v>
          </cell>
          <cell r="B2094" t="str">
            <v>*Advanced Skilled Te</v>
          </cell>
        </row>
        <row r="2095">
          <cell r="A2095">
            <v>12118</v>
          </cell>
          <cell r="B2095" t="str">
            <v>*S2S-PIF ComSprt&amp;Hl</v>
          </cell>
        </row>
        <row r="2096">
          <cell r="A2096">
            <v>12119</v>
          </cell>
          <cell r="B2096" t="str">
            <v>*Summer School-Gift</v>
          </cell>
        </row>
        <row r="2097">
          <cell r="A2097">
            <v>12120</v>
          </cell>
          <cell r="B2097" t="str">
            <v>*Enterprise Learning</v>
          </cell>
        </row>
        <row r="2098">
          <cell r="A2098">
            <v>12121</v>
          </cell>
          <cell r="B2098" t="str">
            <v>*ContactPoint</v>
          </cell>
        </row>
        <row r="2099">
          <cell r="A2099">
            <v>12122</v>
          </cell>
          <cell r="B2099" t="str">
            <v>*EHP Parenting Suppo</v>
          </cell>
        </row>
        <row r="2100">
          <cell r="A2100">
            <v>12123</v>
          </cell>
          <cell r="B2100" t="str">
            <v>*Leading Edge</v>
          </cell>
        </row>
        <row r="2101">
          <cell r="A2101">
            <v>12124</v>
          </cell>
          <cell r="B2101" t="str">
            <v>*Specialist Schools</v>
          </cell>
        </row>
        <row r="2102">
          <cell r="A2102">
            <v>12125</v>
          </cell>
          <cell r="B2102" t="str">
            <v>*SI - Training Schoo</v>
          </cell>
        </row>
        <row r="2103">
          <cell r="A2103">
            <v>12126</v>
          </cell>
          <cell r="B2103" t="str">
            <v>*Post LIG Funding</v>
          </cell>
        </row>
        <row r="2104">
          <cell r="A2104">
            <v>12127</v>
          </cell>
          <cell r="B2104" t="str">
            <v>*Deprivation Funding</v>
          </cell>
        </row>
        <row r="2105">
          <cell r="A2105">
            <v>12128</v>
          </cell>
          <cell r="B2105" t="str">
            <v>*Extended Sch Subsid</v>
          </cell>
        </row>
        <row r="2106">
          <cell r="A2106">
            <v>12129</v>
          </cell>
          <cell r="B2106" t="str">
            <v>*Ethnic Minority Ach</v>
          </cell>
        </row>
        <row r="2107">
          <cell r="A2107">
            <v>12130</v>
          </cell>
          <cell r="B2107" t="str">
            <v>*Targeted School Mea</v>
          </cell>
        </row>
        <row r="2108">
          <cell r="A2108">
            <v>12131</v>
          </cell>
          <cell r="B2108" t="str">
            <v>*School Lunch Grant</v>
          </cell>
        </row>
        <row r="2109">
          <cell r="A2109">
            <v>12132</v>
          </cell>
          <cell r="B2109" t="str">
            <v>*SF Extended Schools</v>
          </cell>
        </row>
        <row r="2110">
          <cell r="A2110">
            <v>12133</v>
          </cell>
          <cell r="B2110" t="str">
            <v>*Primary Strategy T</v>
          </cell>
        </row>
        <row r="2111">
          <cell r="A2111">
            <v>12134</v>
          </cell>
          <cell r="B2111" t="str">
            <v>*Secondary Strategy</v>
          </cell>
        </row>
        <row r="2112">
          <cell r="A2112">
            <v>12135</v>
          </cell>
          <cell r="B2112" t="str">
            <v>*Tartgeted Improveme</v>
          </cell>
        </row>
        <row r="2113">
          <cell r="A2113">
            <v>12136</v>
          </cell>
          <cell r="B2113" t="str">
            <v>*Aim Higher 20050607</v>
          </cell>
        </row>
        <row r="2114">
          <cell r="A2114">
            <v>12137</v>
          </cell>
          <cell r="B2114" t="str">
            <v>*SI - Pri Strat Cent</v>
          </cell>
        </row>
        <row r="2115">
          <cell r="A2115">
            <v>12138</v>
          </cell>
          <cell r="B2115" t="str">
            <v>*SI - Sec Strat Cent</v>
          </cell>
        </row>
        <row r="2116">
          <cell r="A2116">
            <v>12139</v>
          </cell>
          <cell r="B2116" t="str">
            <v>*SI - Sec Strat B&amp;A</v>
          </cell>
        </row>
        <row r="2117">
          <cell r="A2117">
            <v>12140</v>
          </cell>
          <cell r="B2117" t="str">
            <v>*SI - Sch Imp P/ship</v>
          </cell>
        </row>
        <row r="2118">
          <cell r="A2118">
            <v>12141</v>
          </cell>
          <cell r="B2118" t="str">
            <v>*Music Service Centr</v>
          </cell>
        </row>
        <row r="2119">
          <cell r="A2119">
            <v>12142</v>
          </cell>
          <cell r="B2119" t="str">
            <v>*DFC Contributions</v>
          </cell>
        </row>
        <row r="2120">
          <cell r="A2120">
            <v>12143</v>
          </cell>
          <cell r="B2120" t="str">
            <v>*SF Education&amp;Health</v>
          </cell>
        </row>
        <row r="2121">
          <cell r="A2121">
            <v>12144</v>
          </cell>
          <cell r="B2121" t="str">
            <v>*Playing For Succ 1</v>
          </cell>
        </row>
        <row r="2122">
          <cell r="A2122">
            <v>12145</v>
          </cell>
          <cell r="B2122" t="str">
            <v>*SF - WFR Grant</v>
          </cell>
        </row>
        <row r="2123">
          <cell r="A2123">
            <v>12146</v>
          </cell>
          <cell r="B2123" t="str">
            <v>*School Travel Advis</v>
          </cell>
        </row>
        <row r="2124">
          <cell r="A2124">
            <v>12147</v>
          </cell>
          <cell r="B2124" t="str">
            <v>*S2S-SF Choice Adv</v>
          </cell>
        </row>
        <row r="2125">
          <cell r="A2125">
            <v>12148</v>
          </cell>
          <cell r="B2125" t="str">
            <v>*SI - SF Sch Interve</v>
          </cell>
        </row>
        <row r="2126">
          <cell r="A2126">
            <v>12149</v>
          </cell>
          <cell r="B2126" t="str">
            <v>*14-19 - Flex 12-19</v>
          </cell>
        </row>
        <row r="2127">
          <cell r="A2127">
            <v>12150</v>
          </cell>
          <cell r="B2127" t="str">
            <v>Planning</v>
          </cell>
        </row>
        <row r="2128">
          <cell r="A2128">
            <v>12151</v>
          </cell>
          <cell r="B2128" t="str">
            <v>*Woodford</v>
          </cell>
        </row>
        <row r="2129">
          <cell r="A2129">
            <v>12152</v>
          </cell>
          <cell r="B2129" t="str">
            <v>Building Inspection</v>
          </cell>
        </row>
        <row r="2130">
          <cell r="A2130">
            <v>12155</v>
          </cell>
          <cell r="B2130" t="str">
            <v>*LAC - Transport</v>
          </cell>
        </row>
        <row r="2131">
          <cell r="A2131">
            <v>12156</v>
          </cell>
          <cell r="B2131" t="str">
            <v>*EIFS - Transport</v>
          </cell>
        </row>
        <row r="2132">
          <cell r="A2132">
            <v>12157</v>
          </cell>
          <cell r="B2132" t="str">
            <v>*EIFS-Trans Family s</v>
          </cell>
        </row>
        <row r="2133">
          <cell r="A2133">
            <v>12158</v>
          </cell>
          <cell r="B2133" t="str">
            <v>DP - Transport</v>
          </cell>
        </row>
        <row r="2134">
          <cell r="A2134">
            <v>12159</v>
          </cell>
          <cell r="B2134" t="str">
            <v>*TRANS-SEN Transport</v>
          </cell>
        </row>
        <row r="2135">
          <cell r="A2135">
            <v>12160</v>
          </cell>
          <cell r="B2135" t="str">
            <v>*TRANS-Special FE</v>
          </cell>
        </row>
        <row r="2136">
          <cell r="A2136">
            <v>12161</v>
          </cell>
          <cell r="B2136" t="str">
            <v>*TRANS-Physical educ</v>
          </cell>
        </row>
        <row r="2137">
          <cell r="A2137">
            <v>12162</v>
          </cell>
          <cell r="B2137" t="str">
            <v>*TRANS-Short T East</v>
          </cell>
        </row>
        <row r="2138">
          <cell r="A2138">
            <v>12163</v>
          </cell>
          <cell r="B2138" t="str">
            <v>*TRANS-Short T West</v>
          </cell>
        </row>
        <row r="2139">
          <cell r="A2139">
            <v>12164</v>
          </cell>
          <cell r="B2139" t="str">
            <v>*TRANS-Long T East1</v>
          </cell>
        </row>
        <row r="2140">
          <cell r="A2140">
            <v>12165</v>
          </cell>
          <cell r="B2140" t="str">
            <v>*TRANS-Long T East 2</v>
          </cell>
        </row>
        <row r="2141">
          <cell r="A2141">
            <v>12166</v>
          </cell>
          <cell r="B2141" t="str">
            <v>*TRANS-Long T West1</v>
          </cell>
        </row>
        <row r="2142">
          <cell r="A2142">
            <v>12167</v>
          </cell>
          <cell r="B2142" t="str">
            <v>*TRANS-Long T West2</v>
          </cell>
        </row>
        <row r="2143">
          <cell r="A2143">
            <v>12168</v>
          </cell>
          <cell r="B2143" t="str">
            <v>*TRANS-Physical Dis</v>
          </cell>
        </row>
        <row r="2144">
          <cell r="A2144">
            <v>12169</v>
          </cell>
          <cell r="B2144" t="str">
            <v>*TRANS-CMHT1</v>
          </cell>
        </row>
        <row r="2145">
          <cell r="A2145">
            <v>12170</v>
          </cell>
          <cell r="B2145" t="str">
            <v>*TRANS-CMHT2</v>
          </cell>
        </row>
        <row r="2146">
          <cell r="A2146">
            <v>12171</v>
          </cell>
          <cell r="B2146" t="str">
            <v>*TRANS-LD purchase</v>
          </cell>
        </row>
        <row r="2147">
          <cell r="A2147">
            <v>12172</v>
          </cell>
          <cell r="B2147" t="str">
            <v>*TRANS-Volunteers HS</v>
          </cell>
        </row>
        <row r="2148">
          <cell r="A2148">
            <v>12173</v>
          </cell>
          <cell r="B2148" t="str">
            <v>Disposal NC Assets</v>
          </cell>
        </row>
        <row r="2149">
          <cell r="A2149">
            <v>12174</v>
          </cell>
          <cell r="B2149" t="str">
            <v>Services Recharged</v>
          </cell>
        </row>
        <row r="2150">
          <cell r="A2150">
            <v>12175</v>
          </cell>
          <cell r="B2150" t="str">
            <v>HRA Strategic Mgt</v>
          </cell>
        </row>
        <row r="2151">
          <cell r="A2151">
            <v>12176</v>
          </cell>
          <cell r="B2151" t="str">
            <v>HRA L/Holders Income</v>
          </cell>
        </row>
        <row r="2152">
          <cell r="A2152">
            <v>12177</v>
          </cell>
          <cell r="B2152" t="str">
            <v>*TRANS-Community mea</v>
          </cell>
        </row>
        <row r="2153">
          <cell r="A2153">
            <v>12178</v>
          </cell>
          <cell r="B2153" t="str">
            <v>*TRANS-AC General</v>
          </cell>
        </row>
        <row r="2154">
          <cell r="A2154">
            <v>12179</v>
          </cell>
          <cell r="B2154" t="str">
            <v>*TRANS-Childrens fun</v>
          </cell>
        </row>
        <row r="2155">
          <cell r="A2155">
            <v>12180</v>
          </cell>
          <cell r="B2155" t="str">
            <v>*TRANS-Out of Hours</v>
          </cell>
        </row>
        <row r="2156">
          <cell r="A2156">
            <v>12181</v>
          </cell>
          <cell r="B2156" t="str">
            <v>TC-School F Ins Clm</v>
          </cell>
        </row>
        <row r="2157">
          <cell r="A2157">
            <v>12182</v>
          </cell>
          <cell r="B2157" t="str">
            <v>*TRANS-Dom Laundry</v>
          </cell>
        </row>
        <row r="2158">
          <cell r="A2158">
            <v>12183</v>
          </cell>
          <cell r="B2158" t="str">
            <v>FP - Adop Supp fund</v>
          </cell>
        </row>
        <row r="2159">
          <cell r="A2159">
            <v>12184</v>
          </cell>
          <cell r="B2159" t="str">
            <v>SC - IST</v>
          </cell>
        </row>
        <row r="2160">
          <cell r="A2160">
            <v>12185</v>
          </cell>
          <cell r="B2160" t="str">
            <v>SC - CB/MW Team 2</v>
          </cell>
        </row>
        <row r="2161">
          <cell r="A2161">
            <v>12186</v>
          </cell>
          <cell r="B2161" t="str">
            <v>*SC - HTV Team 4</v>
          </cell>
        </row>
        <row r="2162">
          <cell r="A2162">
            <v>12187</v>
          </cell>
          <cell r="B2162" t="str">
            <v>SC - CB/MW Team 1</v>
          </cell>
        </row>
        <row r="2163">
          <cell r="A2163">
            <v>12188</v>
          </cell>
          <cell r="B2163" t="str">
            <v>CB/MW CSC Locality L</v>
          </cell>
        </row>
        <row r="2164">
          <cell r="A2164">
            <v>12189</v>
          </cell>
          <cell r="B2164" t="str">
            <v>DP - CEAS</v>
          </cell>
        </row>
        <row r="2165">
          <cell r="A2165">
            <v>12190</v>
          </cell>
          <cell r="B2165" t="str">
            <v>EP - LAC Carefirst</v>
          </cell>
        </row>
        <row r="2166">
          <cell r="A2166">
            <v>12191</v>
          </cell>
          <cell r="B2166" t="str">
            <v>EP - EIFS Carefirst</v>
          </cell>
        </row>
        <row r="2167">
          <cell r="A2167">
            <v>12192</v>
          </cell>
          <cell r="B2167" t="str">
            <v>FP - H From H Wrk</v>
          </cell>
        </row>
        <row r="2168">
          <cell r="A2168">
            <v>12193</v>
          </cell>
          <cell r="B2168" t="str">
            <v>*SC - SHV Team 4</v>
          </cell>
        </row>
        <row r="2169">
          <cell r="A2169">
            <v>12194</v>
          </cell>
          <cell r="B2169" t="str">
            <v>SC - SHV Team 3</v>
          </cell>
        </row>
        <row r="2170">
          <cell r="A2170">
            <v>12195</v>
          </cell>
          <cell r="B2170" t="str">
            <v>SC - HTV Team 3</v>
          </cell>
        </row>
        <row r="2171">
          <cell r="A2171">
            <v>12196</v>
          </cell>
          <cell r="B2171" t="str">
            <v>SC - SHV Team 1</v>
          </cell>
        </row>
        <row r="2172">
          <cell r="A2172">
            <v>12197</v>
          </cell>
          <cell r="B2172" t="str">
            <v>SC - HTV Team 2</v>
          </cell>
        </row>
        <row r="2173">
          <cell r="A2173">
            <v>12198</v>
          </cell>
          <cell r="B2173" t="str">
            <v>*MH Wellbeing Centre</v>
          </cell>
        </row>
        <row r="2174">
          <cell r="A2174">
            <v>12199</v>
          </cell>
          <cell r="B2174" t="str">
            <v>HSCAS</v>
          </cell>
        </row>
        <row r="2175">
          <cell r="A2175">
            <v>12200</v>
          </cell>
          <cell r="B2175" t="str">
            <v>WD-Stf Dev-Adm&amp;Trai</v>
          </cell>
        </row>
        <row r="2176">
          <cell r="A2176">
            <v>12201</v>
          </cell>
          <cell r="B2176" t="str">
            <v>*WD-Stf Dev-Safeguar</v>
          </cell>
        </row>
        <row r="2177">
          <cell r="A2177">
            <v>12202</v>
          </cell>
          <cell r="B2177" t="str">
            <v>WD-Staff Dev-Grants</v>
          </cell>
        </row>
        <row r="2178">
          <cell r="A2178">
            <v>12203</v>
          </cell>
          <cell r="B2178" t="str">
            <v>*Whitehill Resource</v>
          </cell>
        </row>
        <row r="2179">
          <cell r="A2179">
            <v>12204</v>
          </cell>
          <cell r="B2179" t="str">
            <v>*Void Beds-Block con</v>
          </cell>
        </row>
        <row r="2180">
          <cell r="A2180">
            <v>12205</v>
          </cell>
          <cell r="B2180" t="str">
            <v>*GMPQ Consortium</v>
          </cell>
        </row>
        <row r="2181">
          <cell r="A2181">
            <v>12206</v>
          </cell>
          <cell r="B2181" t="str">
            <v>U_FRS17 Settlmt&amp;Curt</v>
          </cell>
        </row>
        <row r="2182">
          <cell r="A2182">
            <v>12207</v>
          </cell>
          <cell r="B2182" t="str">
            <v>*Contribution to DSG</v>
          </cell>
        </row>
        <row r="2183">
          <cell r="A2183">
            <v>12208</v>
          </cell>
          <cell r="B2183" t="str">
            <v>PCT Training</v>
          </cell>
        </row>
        <row r="2184">
          <cell r="A2184">
            <v>12209</v>
          </cell>
          <cell r="B2184" t="str">
            <v>*TP Consultant</v>
          </cell>
        </row>
        <row r="2185">
          <cell r="A2185">
            <v>12210</v>
          </cell>
          <cell r="B2185" t="str">
            <v>*Training Task Grou</v>
          </cell>
        </row>
        <row r="2186">
          <cell r="A2186">
            <v>12211</v>
          </cell>
          <cell r="B2186" t="str">
            <v>*DP - Manager</v>
          </cell>
        </row>
        <row r="2187">
          <cell r="A2187">
            <v>12212</v>
          </cell>
          <cell r="B2187" t="str">
            <v>*SFYP - Teen Preg</v>
          </cell>
        </row>
        <row r="2188">
          <cell r="A2188">
            <v>12213</v>
          </cell>
          <cell r="B2188" t="str">
            <v>*Support &amp; Developmt</v>
          </cell>
        </row>
        <row r="2189">
          <cell r="A2189">
            <v>12214</v>
          </cell>
          <cell r="B2189" t="str">
            <v>Yth worker/outreach</v>
          </cell>
        </row>
        <row r="2190">
          <cell r="A2190">
            <v>12215</v>
          </cell>
          <cell r="B2190" t="str">
            <v>PCT Reception Post</v>
          </cell>
        </row>
        <row r="2191">
          <cell r="A2191">
            <v>12216</v>
          </cell>
          <cell r="B2191" t="str">
            <v>*LAC SRE Proj Office</v>
          </cell>
        </row>
        <row r="2192">
          <cell r="A2192">
            <v>12217</v>
          </cell>
          <cell r="B2192" t="str">
            <v>*Cyp-Admin-Par &amp; Com</v>
          </cell>
        </row>
        <row r="2193">
          <cell r="A2193">
            <v>12218</v>
          </cell>
          <cell r="B2193" t="str">
            <v>*Young Adults</v>
          </cell>
        </row>
        <row r="2194">
          <cell r="A2194">
            <v>12219</v>
          </cell>
          <cell r="B2194" t="str">
            <v>Extra Care Hsg Block</v>
          </cell>
        </row>
        <row r="2195">
          <cell r="A2195">
            <v>12220</v>
          </cell>
          <cell r="B2195" t="str">
            <v>SPB Fuel A/C</v>
          </cell>
        </row>
        <row r="2196">
          <cell r="A2196">
            <v>12221</v>
          </cell>
          <cell r="B2196" t="str">
            <v>*SIPS/Partnership B</v>
          </cell>
        </row>
        <row r="2197">
          <cell r="A2197">
            <v>12222</v>
          </cell>
          <cell r="B2197" t="str">
            <v>*RV Early Yrs CCentr</v>
          </cell>
        </row>
        <row r="2198">
          <cell r="A2198">
            <v>12223</v>
          </cell>
          <cell r="B2198" t="str">
            <v>*Brinn EYrs CCentre</v>
          </cell>
        </row>
        <row r="2199">
          <cell r="A2199">
            <v>12224</v>
          </cell>
          <cell r="B2199" t="str">
            <v>*Info: Scanning Team</v>
          </cell>
        </row>
        <row r="2200">
          <cell r="A2200">
            <v>12225</v>
          </cell>
          <cell r="B2200" t="str">
            <v>MOCKING BIRD</v>
          </cell>
        </row>
        <row r="2201">
          <cell r="A2201">
            <v>12226</v>
          </cell>
          <cell r="B2201" t="str">
            <v>Money Following Pupi</v>
          </cell>
        </row>
        <row r="2202">
          <cell r="A2202">
            <v>12227</v>
          </cell>
          <cell r="B2202" t="str">
            <v>LDRC Day Centre</v>
          </cell>
        </row>
        <row r="2203">
          <cell r="A2203">
            <v>12228</v>
          </cell>
          <cell r="B2203" t="str">
            <v>*Primary Specific Pr</v>
          </cell>
        </row>
        <row r="2204">
          <cell r="A2204">
            <v>12229</v>
          </cell>
          <cell r="B2204" t="str">
            <v>*Primary L&amp;N</v>
          </cell>
        </row>
        <row r="2205">
          <cell r="A2205">
            <v>12230</v>
          </cell>
          <cell r="B2205" t="str">
            <v>*Primary C&amp;SP</v>
          </cell>
        </row>
        <row r="2206">
          <cell r="A2206">
            <v>12231</v>
          </cell>
          <cell r="B2206" t="str">
            <v>EY Contingency</v>
          </cell>
        </row>
        <row r="2207">
          <cell r="A2207">
            <v>12232</v>
          </cell>
          <cell r="B2207" t="str">
            <v>LD Assess Management</v>
          </cell>
        </row>
        <row r="2208">
          <cell r="A2208">
            <v>12233</v>
          </cell>
          <cell r="B2208" t="str">
            <v>NCL Adj to Ac Basis</v>
          </cell>
        </row>
        <row r="2209">
          <cell r="A2209">
            <v>12234</v>
          </cell>
          <cell r="B2209" t="str">
            <v>*FSS -Head of Servic</v>
          </cell>
        </row>
        <row r="2210">
          <cell r="A2210">
            <v>12235</v>
          </cell>
          <cell r="B2210" t="str">
            <v>*SF.Strategy Admin C</v>
          </cell>
        </row>
        <row r="2211">
          <cell r="A2211">
            <v>12236</v>
          </cell>
          <cell r="B2211" t="str">
            <v>*ICT-Social care</v>
          </cell>
        </row>
        <row r="2212">
          <cell r="A2212">
            <v>12237</v>
          </cell>
          <cell r="B2212" t="str">
            <v>*CYPSC Community prd</v>
          </cell>
        </row>
        <row r="2213">
          <cell r="A2213">
            <v>12238</v>
          </cell>
          <cell r="B2213" t="str">
            <v>*14-19 GONW</v>
          </cell>
        </row>
        <row r="2214">
          <cell r="A2214">
            <v>12239</v>
          </cell>
          <cell r="B2214" t="str">
            <v>*14-19 NEET ESF</v>
          </cell>
        </row>
        <row r="2215">
          <cell r="A2215">
            <v>12240</v>
          </cell>
          <cell r="B2215" t="str">
            <v>*S.Fund Primary 121</v>
          </cell>
        </row>
        <row r="2216">
          <cell r="A2216">
            <v>12241</v>
          </cell>
          <cell r="B2216" t="str">
            <v>*Secondary Ct Reserv</v>
          </cell>
        </row>
        <row r="2217">
          <cell r="A2217">
            <v>12242</v>
          </cell>
          <cell r="B2217" t="str">
            <v>*SFYP Connexion Staf</v>
          </cell>
        </row>
        <row r="2218">
          <cell r="A2218">
            <v>12243</v>
          </cell>
          <cell r="B2218" t="str">
            <v>*SFYP-Cnex C&amp;Stockpr</v>
          </cell>
        </row>
        <row r="2219">
          <cell r="A2219">
            <v>12244</v>
          </cell>
          <cell r="B2219" t="str">
            <v>*SFYP-Cnex M,R,HG,B</v>
          </cell>
        </row>
        <row r="2220">
          <cell r="A2220">
            <v>12245</v>
          </cell>
          <cell r="B2220" t="str">
            <v>*SFYP-Cnex Bwide&amp;T.C</v>
          </cell>
        </row>
        <row r="2221">
          <cell r="A2221">
            <v>12246</v>
          </cell>
          <cell r="B2221" t="str">
            <v>*SFYP EWS Staffing</v>
          </cell>
        </row>
        <row r="2222">
          <cell r="A2222">
            <v>12247</v>
          </cell>
          <cell r="B2222" t="str">
            <v>*SFYP-EWO C&amp;Stockpr</v>
          </cell>
        </row>
        <row r="2223">
          <cell r="A2223">
            <v>12248</v>
          </cell>
          <cell r="B2223" t="str">
            <v>*SFYP-EWO M,R,HG,B</v>
          </cell>
        </row>
        <row r="2224">
          <cell r="A2224">
            <v>12249</v>
          </cell>
          <cell r="B2224" t="str">
            <v>*SFYP-EWO Bwide&amp;T.C</v>
          </cell>
        </row>
        <row r="2225">
          <cell r="A2225">
            <v>12250</v>
          </cell>
          <cell r="B2225" t="str">
            <v>*SFYP YS Staffing</v>
          </cell>
        </row>
        <row r="2226">
          <cell r="A2226">
            <v>12251</v>
          </cell>
          <cell r="B2226" t="str">
            <v>*SFYP-LYW C&amp;Stockprt</v>
          </cell>
        </row>
        <row r="2227">
          <cell r="A2227">
            <v>12252</v>
          </cell>
          <cell r="B2227" t="str">
            <v>*SFYP-LYW M,R,HG,B</v>
          </cell>
        </row>
        <row r="2228">
          <cell r="A2228">
            <v>12253</v>
          </cell>
          <cell r="B2228" t="str">
            <v>*SFYP-LWY B'wide&amp;T.C</v>
          </cell>
        </row>
        <row r="2229">
          <cell r="A2229">
            <v>12254</v>
          </cell>
          <cell r="B2229" t="str">
            <v>*SFYP-PAYP H&amp;Reddish</v>
          </cell>
        </row>
        <row r="2230">
          <cell r="A2230">
            <v>12255</v>
          </cell>
          <cell r="B2230" t="str">
            <v>*SFYP-PAYP C&amp;Stockpr</v>
          </cell>
        </row>
        <row r="2231">
          <cell r="A2231">
            <v>12256</v>
          </cell>
          <cell r="B2231" t="str">
            <v>*SFYP-PAYP M,R,HG,B</v>
          </cell>
        </row>
        <row r="2232">
          <cell r="A2232">
            <v>12257</v>
          </cell>
          <cell r="B2232" t="str">
            <v>*SFYP-PAYP Bwide&amp;T.C</v>
          </cell>
        </row>
        <row r="2233">
          <cell r="A2233">
            <v>12258</v>
          </cell>
          <cell r="B2233" t="str">
            <v>*SFYP Other Staffing</v>
          </cell>
        </row>
        <row r="2234">
          <cell r="A2234">
            <v>12259</v>
          </cell>
          <cell r="B2234" t="str">
            <v>*SFYP-Other C&amp;Stockp</v>
          </cell>
        </row>
        <row r="2235">
          <cell r="A2235">
            <v>12260</v>
          </cell>
          <cell r="B2235" t="str">
            <v>*SFYP-Other M,R,HG,B</v>
          </cell>
        </row>
        <row r="2236">
          <cell r="A2236">
            <v>12261</v>
          </cell>
          <cell r="B2236" t="str">
            <v>*SFYP-Other Bwide&amp;T.</v>
          </cell>
        </row>
        <row r="2237">
          <cell r="A2237">
            <v>12262</v>
          </cell>
          <cell r="B2237" t="str">
            <v>*SFYP-NonS H&amp;Reddish</v>
          </cell>
        </row>
        <row r="2238">
          <cell r="A2238">
            <v>12263</v>
          </cell>
          <cell r="B2238" t="str">
            <v>*SFYP-NonS C&amp;Stockpt</v>
          </cell>
        </row>
        <row r="2239">
          <cell r="A2239">
            <v>12264</v>
          </cell>
          <cell r="B2239" t="str">
            <v>*SFYP-NonS M,R,HG,B</v>
          </cell>
        </row>
        <row r="2240">
          <cell r="A2240">
            <v>12265</v>
          </cell>
          <cell r="B2240" t="str">
            <v>*SFYP-NonS Bwide&amp;T.C</v>
          </cell>
        </row>
        <row r="2241">
          <cell r="A2241">
            <v>12266</v>
          </cell>
          <cell r="B2241" t="str">
            <v>*SFYP Bus Team Staff</v>
          </cell>
        </row>
        <row r="2242">
          <cell r="A2242">
            <v>12267</v>
          </cell>
          <cell r="B2242" t="str">
            <v>*SFYP Leaders Tm Sta</v>
          </cell>
        </row>
        <row r="2243">
          <cell r="A2243">
            <v>12270</v>
          </cell>
          <cell r="B2243" t="str">
            <v>*FSS SAP Licence Fee</v>
          </cell>
        </row>
        <row r="2244">
          <cell r="A2244">
            <v>12271</v>
          </cell>
          <cell r="B2244" t="str">
            <v>Legal Fees Budget</v>
          </cell>
        </row>
        <row r="2245">
          <cell r="A2245">
            <v>12272</v>
          </cell>
          <cell r="B2245" t="str">
            <v>*U-Uncont TS AGMA</v>
          </cell>
        </row>
        <row r="2246">
          <cell r="A2246">
            <v>12273</v>
          </cell>
          <cell r="B2246" t="str">
            <v>*Land Charges Inc</v>
          </cell>
        </row>
        <row r="2247">
          <cell r="A2247">
            <v>12274</v>
          </cell>
          <cell r="B2247" t="str">
            <v>U-Uncont Sport Trust</v>
          </cell>
        </row>
        <row r="2248">
          <cell r="A2248">
            <v>12275</v>
          </cell>
          <cell r="B2248" t="str">
            <v>*U-Research&amp;InfoAGMA</v>
          </cell>
        </row>
        <row r="2249">
          <cell r="A2249">
            <v>12276</v>
          </cell>
          <cell r="B2249" t="str">
            <v>*SFYP YS Grant Incom</v>
          </cell>
        </row>
        <row r="2250">
          <cell r="A2250">
            <v>12277</v>
          </cell>
          <cell r="B2250" t="str">
            <v>Matpay-PRU/Services</v>
          </cell>
        </row>
        <row r="2251">
          <cell r="A2251">
            <v>12278</v>
          </cell>
          <cell r="B2251" t="str">
            <v>School Organisation</v>
          </cell>
        </row>
        <row r="2252">
          <cell r="A2252">
            <v>12279</v>
          </cell>
          <cell r="B2252" t="str">
            <v>TC-Non DSG App</v>
          </cell>
        </row>
        <row r="2253">
          <cell r="A2253">
            <v>12280</v>
          </cell>
          <cell r="B2253" t="str">
            <v>DSG Apportion</v>
          </cell>
        </row>
        <row r="2254">
          <cell r="A2254">
            <v>12281</v>
          </cell>
          <cell r="B2254" t="str">
            <v>*14-19-Work Base Lea</v>
          </cell>
        </row>
        <row r="2255">
          <cell r="A2255">
            <v>12282</v>
          </cell>
          <cell r="B2255" t="str">
            <v>*IPT-Soc CareSys&amp;Per</v>
          </cell>
        </row>
        <row r="2256">
          <cell r="A2256">
            <v>12283</v>
          </cell>
          <cell r="B2256" t="str">
            <v>*Outcome Based Serv</v>
          </cell>
        </row>
        <row r="2257">
          <cell r="A2257">
            <v>12284</v>
          </cell>
          <cell r="B2257" t="str">
            <v>*Family Intervention</v>
          </cell>
        </row>
        <row r="2258">
          <cell r="A2258">
            <v>12285</v>
          </cell>
          <cell r="B2258" t="str">
            <v>*EHP Early Yr's Prof</v>
          </cell>
        </row>
        <row r="2259">
          <cell r="A2259">
            <v>12286</v>
          </cell>
          <cell r="B2259" t="str">
            <v>*EHP CC Marketing</v>
          </cell>
        </row>
        <row r="2260">
          <cell r="A2260">
            <v>12287</v>
          </cell>
          <cell r="B2260" t="str">
            <v>*EHP CC Bredbury Gre</v>
          </cell>
        </row>
        <row r="2261">
          <cell r="A2261">
            <v>12288</v>
          </cell>
          <cell r="B2261" t="str">
            <v>*EHP CC Edgeley &amp;C/H</v>
          </cell>
        </row>
        <row r="2262">
          <cell r="A2262">
            <v>12289</v>
          </cell>
          <cell r="B2262" t="str">
            <v>*EHP CC Ladybridge</v>
          </cell>
        </row>
        <row r="2263">
          <cell r="A2263">
            <v>12290</v>
          </cell>
          <cell r="B2263" t="str">
            <v>*EHP CC Heatons (Sat</v>
          </cell>
        </row>
        <row r="2264">
          <cell r="A2264">
            <v>12291</v>
          </cell>
          <cell r="B2264" t="str">
            <v>EHP CC Belmont &amp; L/H</v>
          </cell>
        </row>
        <row r="2265">
          <cell r="A2265">
            <v>12292</v>
          </cell>
          <cell r="B2265" t="str">
            <v>*EHP CC Cheadle &amp;Gat</v>
          </cell>
        </row>
        <row r="2266">
          <cell r="A2266">
            <v>12293</v>
          </cell>
          <cell r="B2266" t="str">
            <v>EHP CC Stockport Cen</v>
          </cell>
        </row>
        <row r="2267">
          <cell r="A2267">
            <v>12294</v>
          </cell>
          <cell r="B2267" t="str">
            <v>EHP CC Reddish Vale</v>
          </cell>
        </row>
        <row r="2268">
          <cell r="A2268">
            <v>12295</v>
          </cell>
          <cell r="B2268" t="str">
            <v>Brinnigton CC</v>
          </cell>
        </row>
        <row r="2269">
          <cell r="A2269">
            <v>12296</v>
          </cell>
          <cell r="B2269" t="str">
            <v>*EHP CC Hazel Gr &amp;HL</v>
          </cell>
        </row>
        <row r="2270">
          <cell r="A2270">
            <v>12297</v>
          </cell>
          <cell r="B2270" t="str">
            <v>*EHP CC Marple Satl</v>
          </cell>
        </row>
        <row r="2271">
          <cell r="A2271">
            <v>12298</v>
          </cell>
          <cell r="B2271" t="str">
            <v>*EHP CC North Reddis</v>
          </cell>
        </row>
        <row r="2272">
          <cell r="A2272">
            <v>12299</v>
          </cell>
          <cell r="B2272" t="str">
            <v>*EHP CC Bredbury,RW</v>
          </cell>
        </row>
        <row r="2273">
          <cell r="A2273">
            <v>12300</v>
          </cell>
          <cell r="B2273" t="str">
            <v>*EHP CC Offerton</v>
          </cell>
        </row>
        <row r="2274">
          <cell r="A2274">
            <v>12301</v>
          </cell>
          <cell r="B2274" t="str">
            <v>*EHP CC Stepping Hil</v>
          </cell>
        </row>
        <row r="2275">
          <cell r="A2275">
            <v>12302</v>
          </cell>
          <cell r="B2275" t="str">
            <v>*EHP CC Bramhall Sat</v>
          </cell>
        </row>
        <row r="2276">
          <cell r="A2276">
            <v>12303</v>
          </cell>
          <cell r="B2276" t="str">
            <v>*EHP CC Cheadle Hulm</v>
          </cell>
        </row>
        <row r="2277">
          <cell r="A2277">
            <v>12304</v>
          </cell>
          <cell r="B2277" t="str">
            <v>*Street Cleansing Co</v>
          </cell>
        </row>
        <row r="2278">
          <cell r="A2278">
            <v>12305</v>
          </cell>
          <cell r="B2278" t="str">
            <v>*Support Work school</v>
          </cell>
        </row>
        <row r="2279">
          <cell r="A2279">
            <v>12306</v>
          </cell>
          <cell r="B2279" t="str">
            <v>*SI - WFD WebSite</v>
          </cell>
        </row>
        <row r="2280">
          <cell r="A2280">
            <v>12307</v>
          </cell>
          <cell r="B2280" t="str">
            <v>*Bramhall Library</v>
          </cell>
        </row>
        <row r="2281">
          <cell r="A2281">
            <v>12308</v>
          </cell>
          <cell r="B2281" t="str">
            <v>*Bredbury Library</v>
          </cell>
        </row>
        <row r="2282">
          <cell r="A2282">
            <v>12309</v>
          </cell>
          <cell r="B2282" t="str">
            <v>*Brinnington Library</v>
          </cell>
        </row>
        <row r="2283">
          <cell r="A2283">
            <v>12310</v>
          </cell>
          <cell r="B2283" t="str">
            <v>*Cent &amp; Heritage Lib</v>
          </cell>
        </row>
        <row r="2284">
          <cell r="A2284">
            <v>12311</v>
          </cell>
          <cell r="B2284" t="str">
            <v>*Cheadle Library</v>
          </cell>
        </row>
        <row r="2285">
          <cell r="A2285">
            <v>12312</v>
          </cell>
          <cell r="B2285" t="str">
            <v>*Cheadle Hulme Libry</v>
          </cell>
        </row>
        <row r="2286">
          <cell r="A2286">
            <v>12313</v>
          </cell>
          <cell r="B2286" t="str">
            <v>Off &amp; Grt Moor Lib</v>
          </cell>
        </row>
        <row r="2287">
          <cell r="A2287">
            <v>12314</v>
          </cell>
          <cell r="B2287" t="str">
            <v>*Edgeley Library</v>
          </cell>
        </row>
        <row r="2288">
          <cell r="A2288">
            <v>12315</v>
          </cell>
          <cell r="B2288" t="str">
            <v>*Ads &amp; Bridg Hall Li</v>
          </cell>
        </row>
        <row r="2289">
          <cell r="A2289">
            <v>12316</v>
          </cell>
          <cell r="B2289" t="str">
            <v>Hazel Grove Library</v>
          </cell>
        </row>
        <row r="2290">
          <cell r="A2290">
            <v>12317</v>
          </cell>
          <cell r="B2290" t="str">
            <v>*Heald Green Library</v>
          </cell>
        </row>
        <row r="2291">
          <cell r="A2291">
            <v>12318</v>
          </cell>
          <cell r="B2291" t="str">
            <v>*High Lane Library</v>
          </cell>
        </row>
        <row r="2292">
          <cell r="A2292">
            <v>12319</v>
          </cell>
          <cell r="B2292" t="str">
            <v>*Marp &amp; High Ln Lib</v>
          </cell>
        </row>
        <row r="2293">
          <cell r="A2293">
            <v>12320</v>
          </cell>
          <cell r="B2293" t="str">
            <v>*Home Library</v>
          </cell>
        </row>
        <row r="2294">
          <cell r="A2294">
            <v>12321</v>
          </cell>
          <cell r="B2294" t="str">
            <v>*Reddish Library</v>
          </cell>
        </row>
        <row r="2295">
          <cell r="A2295">
            <v>12322</v>
          </cell>
          <cell r="B2295" t="str">
            <v>*The Heatons Library</v>
          </cell>
        </row>
        <row r="2296">
          <cell r="A2296">
            <v>12323</v>
          </cell>
          <cell r="B2296" t="str">
            <v>*Community Engagemen</v>
          </cell>
        </row>
        <row r="2297">
          <cell r="A2297">
            <v>12324</v>
          </cell>
          <cell r="B2297" t="str">
            <v>Gateway Scheme</v>
          </cell>
        </row>
        <row r="2298">
          <cell r="A2298">
            <v>12325</v>
          </cell>
          <cell r="B2298" t="str">
            <v>*Priory Road</v>
          </cell>
        </row>
        <row r="2299">
          <cell r="A2299">
            <v>12326</v>
          </cell>
          <cell r="B2299" t="str">
            <v>MH SS Manager</v>
          </cell>
        </row>
        <row r="2300">
          <cell r="A2300">
            <v>12327</v>
          </cell>
          <cell r="B2300" t="str">
            <v>People w/o recourse</v>
          </cell>
        </row>
        <row r="2301">
          <cell r="A2301">
            <v>12328</v>
          </cell>
          <cell r="B2301" t="str">
            <v>Property Client Acct</v>
          </cell>
        </row>
        <row r="2302">
          <cell r="A2302">
            <v>12329</v>
          </cell>
          <cell r="B2302" t="str">
            <v>*CSS BITE (Finance)</v>
          </cell>
        </row>
        <row r="2303">
          <cell r="A2303">
            <v>12330</v>
          </cell>
          <cell r="B2303" t="str">
            <v>*NWTWC</v>
          </cell>
        </row>
        <row r="2304">
          <cell r="A2304">
            <v>12331</v>
          </cell>
          <cell r="B2304" t="str">
            <v>*GMPP Holding</v>
          </cell>
        </row>
        <row r="2305">
          <cell r="A2305">
            <v>12332</v>
          </cell>
          <cell r="B2305" t="str">
            <v>*Health Education</v>
          </cell>
        </row>
        <row r="2306">
          <cell r="A2306">
            <v>12333</v>
          </cell>
          <cell r="B2306" t="str">
            <v>*Planning Engineer</v>
          </cell>
        </row>
        <row r="2307">
          <cell r="A2307">
            <v>12334</v>
          </cell>
          <cell r="B2307" t="str">
            <v>*CE Management</v>
          </cell>
        </row>
        <row r="2308">
          <cell r="A2308">
            <v>12335</v>
          </cell>
          <cell r="B2308" t="str">
            <v>*BLF Targeted Capita</v>
          </cell>
        </row>
        <row r="2309">
          <cell r="A2309">
            <v>12336</v>
          </cell>
          <cell r="B2309" t="str">
            <v>*SS&amp;CC Grant 1</v>
          </cell>
        </row>
        <row r="2310">
          <cell r="A2310">
            <v>12337</v>
          </cell>
          <cell r="B2310" t="str">
            <v>*SS&amp;CC Grant 2</v>
          </cell>
        </row>
        <row r="2311">
          <cell r="A2311">
            <v>12338</v>
          </cell>
          <cell r="B2311" t="str">
            <v>*NNW_NWIEP</v>
          </cell>
        </row>
        <row r="2312">
          <cell r="A2312">
            <v>12339</v>
          </cell>
          <cell r="B2312" t="str">
            <v>*NNW Business Centre</v>
          </cell>
        </row>
        <row r="2313">
          <cell r="A2313">
            <v>12340</v>
          </cell>
          <cell r="B2313" t="str">
            <v>*NNW-CUMBRIA</v>
          </cell>
        </row>
        <row r="2314">
          <cell r="A2314">
            <v>12341</v>
          </cell>
          <cell r="B2314" t="str">
            <v>*Marple Cluster</v>
          </cell>
        </row>
        <row r="2315">
          <cell r="A2315">
            <v>12342</v>
          </cell>
          <cell r="B2315" t="str">
            <v>*Reddish Core</v>
          </cell>
        </row>
        <row r="2316">
          <cell r="A2316">
            <v>12343</v>
          </cell>
          <cell r="B2316" t="str">
            <v>*Edgeley Cluster</v>
          </cell>
        </row>
        <row r="2317">
          <cell r="A2317">
            <v>12344</v>
          </cell>
          <cell r="B2317" t="str">
            <v>*Edgeley Core</v>
          </cell>
        </row>
        <row r="2318">
          <cell r="A2318">
            <v>12345</v>
          </cell>
          <cell r="B2318" t="str">
            <v>*Reddish Cluster</v>
          </cell>
        </row>
        <row r="2319">
          <cell r="A2319">
            <v>12346</v>
          </cell>
          <cell r="B2319" t="str">
            <v>*Marple Core</v>
          </cell>
        </row>
        <row r="2320">
          <cell r="A2320">
            <v>12347</v>
          </cell>
          <cell r="B2320" t="str">
            <v>*NWTWC - CDF</v>
          </cell>
        </row>
        <row r="2321">
          <cell r="A2321">
            <v>12348</v>
          </cell>
          <cell r="B2321" t="str">
            <v>*Cities in Balance</v>
          </cell>
        </row>
        <row r="2322">
          <cell r="A2322">
            <v>12349</v>
          </cell>
          <cell r="B2322" t="str">
            <v>*FSS Value for Money</v>
          </cell>
        </row>
        <row r="2323">
          <cell r="A2323">
            <v>12350</v>
          </cell>
          <cell r="B2323" t="str">
            <v>*SS General Allocati</v>
          </cell>
        </row>
        <row r="2324">
          <cell r="A2324">
            <v>12351</v>
          </cell>
          <cell r="B2324" t="str">
            <v>*SS ISC Programme SH</v>
          </cell>
        </row>
        <row r="2325">
          <cell r="A2325">
            <v>12352</v>
          </cell>
          <cell r="B2325" t="str">
            <v>*CTIW - AMc</v>
          </cell>
        </row>
        <row r="2326">
          <cell r="A2326">
            <v>12353</v>
          </cell>
          <cell r="B2326" t="str">
            <v>*EHP CC Training</v>
          </cell>
        </row>
        <row r="2327">
          <cell r="A2327">
            <v>12354</v>
          </cell>
          <cell r="B2327" t="str">
            <v>EHP CC Publicity</v>
          </cell>
        </row>
        <row r="2328">
          <cell r="A2328">
            <v>12355</v>
          </cell>
          <cell r="B2328" t="str">
            <v>*Primary AFL</v>
          </cell>
        </row>
        <row r="2329">
          <cell r="A2329">
            <v>12356</v>
          </cell>
          <cell r="B2329" t="str">
            <v>*SF ES Sustainabilit</v>
          </cell>
        </row>
        <row r="2330">
          <cell r="A2330">
            <v>12357</v>
          </cell>
          <cell r="B2330" t="str">
            <v>*PS SEAL Cross Phase</v>
          </cell>
        </row>
        <row r="2331">
          <cell r="A2331">
            <v>12358</v>
          </cell>
          <cell r="B2331" t="str">
            <v>*Priestnall Sports P</v>
          </cell>
        </row>
        <row r="2332">
          <cell r="A2332">
            <v>12359</v>
          </cell>
          <cell r="B2332" t="str">
            <v>* Master Plan</v>
          </cell>
        </row>
        <row r="2333">
          <cell r="A2333">
            <v>12360</v>
          </cell>
          <cell r="B2333" t="str">
            <v>FSS Liability Prems</v>
          </cell>
        </row>
        <row r="2334">
          <cell r="A2334">
            <v>12361</v>
          </cell>
          <cell r="B2334" t="str">
            <v>Ins: School Perils</v>
          </cell>
        </row>
        <row r="2335">
          <cell r="A2335">
            <v>12362</v>
          </cell>
          <cell r="B2335" t="str">
            <v>FSS: Property Prems</v>
          </cell>
        </row>
        <row r="2336">
          <cell r="A2336">
            <v>12363</v>
          </cell>
          <cell r="B2336" t="str">
            <v>*DELETED</v>
          </cell>
        </row>
        <row r="2337">
          <cell r="A2337">
            <v>12364</v>
          </cell>
          <cell r="B2337" t="str">
            <v>Hostels</v>
          </cell>
        </row>
        <row r="2338">
          <cell r="A2338">
            <v>12365</v>
          </cell>
          <cell r="B2338" t="str">
            <v>*97 Chatham Street</v>
          </cell>
        </row>
        <row r="2339">
          <cell r="A2339">
            <v>12366</v>
          </cell>
          <cell r="B2339" t="str">
            <v>Lizard Lounge</v>
          </cell>
        </row>
        <row r="2340">
          <cell r="A2340">
            <v>12367</v>
          </cell>
          <cell r="B2340" t="str">
            <v>*Peer Ed - SRE</v>
          </cell>
        </row>
        <row r="2341">
          <cell r="A2341">
            <v>12368</v>
          </cell>
          <cell r="B2341" t="str">
            <v>*SFYP Werneth AO</v>
          </cell>
        </row>
        <row r="2342">
          <cell r="A2342">
            <v>12369</v>
          </cell>
          <cell r="B2342" t="str">
            <v>*SFYPChd+Stockpt Eq</v>
          </cell>
        </row>
        <row r="2343">
          <cell r="A2343">
            <v>12370</v>
          </cell>
          <cell r="B2343" t="str">
            <v>*SFYP Reddish AO</v>
          </cell>
        </row>
        <row r="2344">
          <cell r="A2344">
            <v>12371</v>
          </cell>
          <cell r="B2344" t="str">
            <v>*SFYP - IT</v>
          </cell>
        </row>
        <row r="2345">
          <cell r="A2345">
            <v>12372</v>
          </cell>
          <cell r="B2345" t="str">
            <v>*SFYP RBH EWS Act</v>
          </cell>
        </row>
        <row r="2346">
          <cell r="A2346">
            <v>12373</v>
          </cell>
          <cell r="B2346" t="str">
            <v>*SFYP Conference Rm</v>
          </cell>
        </row>
        <row r="2347">
          <cell r="A2347">
            <v>12374</v>
          </cell>
          <cell r="B2347" t="str">
            <v>*SFYP-MWHB EWS Activ</v>
          </cell>
        </row>
        <row r="2348">
          <cell r="A2348">
            <v>12375</v>
          </cell>
          <cell r="B2348" t="str">
            <v>*Cheadle+Stockpt EWS</v>
          </cell>
        </row>
        <row r="2349">
          <cell r="A2349">
            <v>12376</v>
          </cell>
          <cell r="B2349" t="str">
            <v>*SFYP Lettings</v>
          </cell>
        </row>
        <row r="2350">
          <cell r="A2350">
            <v>12377</v>
          </cell>
          <cell r="B2350" t="str">
            <v>*Carers Grant</v>
          </cell>
        </row>
        <row r="2351">
          <cell r="A2351">
            <v>12378</v>
          </cell>
          <cell r="B2351" t="str">
            <v>*CSS Redesign Saving</v>
          </cell>
        </row>
        <row r="2352">
          <cell r="A2352">
            <v>12379</v>
          </cell>
          <cell r="B2352" t="str">
            <v>*Obesity Initiative</v>
          </cell>
        </row>
        <row r="2353">
          <cell r="A2353">
            <v>12380</v>
          </cell>
          <cell r="B2353" t="str">
            <v>*PlayPath Build gran</v>
          </cell>
        </row>
        <row r="2354">
          <cell r="A2354">
            <v>12381</v>
          </cell>
          <cell r="B2354" t="str">
            <v>*Lisburne Unit</v>
          </cell>
        </row>
        <row r="2355">
          <cell r="A2355">
            <v>12382</v>
          </cell>
          <cell r="B2355" t="str">
            <v>*Rosehill Unit</v>
          </cell>
        </row>
        <row r="2356">
          <cell r="A2356">
            <v>12383</v>
          </cell>
          <cell r="B2356" t="str">
            <v>Alexandra Pk Primary</v>
          </cell>
        </row>
        <row r="2357">
          <cell r="A2357">
            <v>12384</v>
          </cell>
          <cell r="B2357" t="str">
            <v>LAC Lizard's Grant</v>
          </cell>
        </row>
        <row r="2358">
          <cell r="A2358">
            <v>12385</v>
          </cell>
          <cell r="B2358" t="str">
            <v>Health Policy Grants</v>
          </cell>
        </row>
        <row r="2359">
          <cell r="A2359">
            <v>12386</v>
          </cell>
          <cell r="B2359" t="str">
            <v>*3 Elizabeth St UR</v>
          </cell>
        </row>
        <row r="2360">
          <cell r="A2360">
            <v>12387</v>
          </cell>
          <cell r="B2360" t="str">
            <v>*46 Forbes Road</v>
          </cell>
        </row>
        <row r="2361">
          <cell r="A2361">
            <v>12388</v>
          </cell>
          <cell r="B2361" t="str">
            <v>*15 Higson Av Parago</v>
          </cell>
        </row>
        <row r="2362">
          <cell r="A2362">
            <v>12389</v>
          </cell>
          <cell r="B2362" t="str">
            <v>3 The Drive CS</v>
          </cell>
        </row>
        <row r="2363">
          <cell r="A2363">
            <v>12390</v>
          </cell>
          <cell r="B2363" t="str">
            <v>*Lisieux Hall</v>
          </cell>
        </row>
        <row r="2364">
          <cell r="A2364">
            <v>12391</v>
          </cell>
          <cell r="B2364" t="str">
            <v>Recovery &amp; Inc Purch</v>
          </cell>
        </row>
        <row r="2365">
          <cell r="A2365">
            <v>12392</v>
          </cell>
          <cell r="B2365" t="str">
            <v>Future Directions</v>
          </cell>
        </row>
        <row r="2366">
          <cell r="A2366">
            <v>12393</v>
          </cell>
          <cell r="B2366" t="str">
            <v>1002</v>
          </cell>
        </row>
        <row r="2367">
          <cell r="A2367">
            <v>12394</v>
          </cell>
          <cell r="B2367" t="str">
            <v>1005</v>
          </cell>
        </row>
        <row r="2368">
          <cell r="A2368">
            <v>12395</v>
          </cell>
          <cell r="B2368" t="str">
            <v>2063</v>
          </cell>
        </row>
        <row r="2369">
          <cell r="A2369">
            <v>12396</v>
          </cell>
          <cell r="B2369" t="str">
            <v>2064</v>
          </cell>
        </row>
        <row r="2370">
          <cell r="A2370">
            <v>12397</v>
          </cell>
          <cell r="B2370" t="str">
            <v>2066</v>
          </cell>
        </row>
        <row r="2371">
          <cell r="A2371">
            <v>12398</v>
          </cell>
          <cell r="B2371" t="str">
            <v>2067</v>
          </cell>
        </row>
        <row r="2372">
          <cell r="A2372">
            <v>12399</v>
          </cell>
          <cell r="B2372" t="str">
            <v>*2069</v>
          </cell>
        </row>
        <row r="2373">
          <cell r="A2373">
            <v>12400</v>
          </cell>
          <cell r="B2373" t="str">
            <v>*2070</v>
          </cell>
        </row>
        <row r="2374">
          <cell r="A2374">
            <v>12401</v>
          </cell>
          <cell r="B2374" t="str">
            <v>2073</v>
          </cell>
        </row>
        <row r="2375">
          <cell r="A2375">
            <v>12402</v>
          </cell>
          <cell r="B2375" t="str">
            <v>*2076</v>
          </cell>
        </row>
        <row r="2376">
          <cell r="A2376">
            <v>12403</v>
          </cell>
          <cell r="B2376" t="str">
            <v>2079</v>
          </cell>
        </row>
        <row r="2377">
          <cell r="A2377">
            <v>12404</v>
          </cell>
          <cell r="B2377" t="str">
            <v>2080</v>
          </cell>
        </row>
        <row r="2378">
          <cell r="A2378">
            <v>12405</v>
          </cell>
          <cell r="B2378" t="str">
            <v>2081</v>
          </cell>
        </row>
        <row r="2379">
          <cell r="A2379">
            <v>12406</v>
          </cell>
          <cell r="B2379" t="str">
            <v>2082</v>
          </cell>
        </row>
        <row r="2380">
          <cell r="A2380">
            <v>12407</v>
          </cell>
          <cell r="B2380" t="str">
            <v>2083</v>
          </cell>
        </row>
        <row r="2381">
          <cell r="A2381">
            <v>12408</v>
          </cell>
          <cell r="B2381" t="str">
            <v>2084</v>
          </cell>
        </row>
        <row r="2382">
          <cell r="A2382">
            <v>12409</v>
          </cell>
          <cell r="B2382" t="str">
            <v>*2086</v>
          </cell>
        </row>
        <row r="2383">
          <cell r="A2383">
            <v>12410</v>
          </cell>
          <cell r="B2383" t="str">
            <v>2087</v>
          </cell>
        </row>
        <row r="2384">
          <cell r="A2384">
            <v>12411</v>
          </cell>
          <cell r="B2384" t="str">
            <v>2088</v>
          </cell>
        </row>
        <row r="2385">
          <cell r="A2385">
            <v>12412</v>
          </cell>
          <cell r="B2385" t="str">
            <v>2089</v>
          </cell>
        </row>
        <row r="2386">
          <cell r="A2386">
            <v>12413</v>
          </cell>
          <cell r="B2386" t="str">
            <v>2090</v>
          </cell>
        </row>
        <row r="2387">
          <cell r="A2387">
            <v>12414</v>
          </cell>
          <cell r="B2387" t="str">
            <v>2091</v>
          </cell>
        </row>
        <row r="2388">
          <cell r="A2388">
            <v>12415</v>
          </cell>
          <cell r="B2388" t="str">
            <v>2092</v>
          </cell>
        </row>
        <row r="2389">
          <cell r="A2389">
            <v>12416</v>
          </cell>
          <cell r="B2389" t="str">
            <v>2103</v>
          </cell>
        </row>
        <row r="2390">
          <cell r="A2390">
            <v>12417</v>
          </cell>
          <cell r="B2390" t="str">
            <v>2104</v>
          </cell>
        </row>
        <row r="2391">
          <cell r="A2391">
            <v>12418</v>
          </cell>
          <cell r="B2391" t="str">
            <v>2105</v>
          </cell>
        </row>
        <row r="2392">
          <cell r="A2392">
            <v>12419</v>
          </cell>
          <cell r="B2392" t="str">
            <v>*2106</v>
          </cell>
        </row>
        <row r="2393">
          <cell r="A2393">
            <v>12420</v>
          </cell>
          <cell r="B2393" t="str">
            <v>2107</v>
          </cell>
        </row>
        <row r="2394">
          <cell r="A2394">
            <v>12421</v>
          </cell>
          <cell r="B2394" t="str">
            <v>*60 Stockholm Road</v>
          </cell>
        </row>
        <row r="2395">
          <cell r="A2395">
            <v>12422</v>
          </cell>
          <cell r="B2395" t="str">
            <v>*62 Stockholm Road</v>
          </cell>
        </row>
        <row r="2396">
          <cell r="A2396">
            <v>12423</v>
          </cell>
          <cell r="B2396" t="str">
            <v>*OP Reviewing Office</v>
          </cell>
        </row>
        <row r="2397">
          <cell r="A2397">
            <v>12424</v>
          </cell>
          <cell r="B2397" t="str">
            <v>Safeguarding Adults</v>
          </cell>
        </row>
        <row r="2398">
          <cell r="A2398">
            <v>12425</v>
          </cell>
          <cell r="B2398" t="str">
            <v>Hospital SS Manager</v>
          </cell>
        </row>
        <row r="2399">
          <cell r="A2399">
            <v>12426</v>
          </cell>
          <cell r="B2399" t="str">
            <v>*Dis Review Officers</v>
          </cell>
        </row>
        <row r="2400">
          <cell r="A2400">
            <v>12427</v>
          </cell>
          <cell r="B2400" t="str">
            <v>*5 Hermitage Avenue</v>
          </cell>
        </row>
        <row r="2401">
          <cell r="A2401">
            <v>12428</v>
          </cell>
          <cell r="B2401" t="str">
            <v>*NNW-NMN</v>
          </cell>
        </row>
        <row r="2402">
          <cell r="A2402">
            <v>12429</v>
          </cell>
          <cell r="B2402" t="str">
            <v>*NNW-NWIEP 0910</v>
          </cell>
        </row>
        <row r="2403">
          <cell r="A2403">
            <v>12430</v>
          </cell>
          <cell r="B2403" t="str">
            <v>*AGMA Tourism Forum</v>
          </cell>
        </row>
        <row r="2404">
          <cell r="A2404">
            <v>12431</v>
          </cell>
          <cell r="B2404" t="str">
            <v>Income Recovery</v>
          </cell>
        </row>
        <row r="2405">
          <cell r="A2405">
            <v>12432</v>
          </cell>
          <cell r="B2405" t="str">
            <v>*Recovery Team (AR)</v>
          </cell>
        </row>
        <row r="2406">
          <cell r="A2406">
            <v>12433</v>
          </cell>
          <cell r="B2406" t="str">
            <v>*Fraud &amp; Visiting Te</v>
          </cell>
        </row>
        <row r="2407">
          <cell r="A2407">
            <v>12440</v>
          </cell>
          <cell r="B2407" t="str">
            <v>2108</v>
          </cell>
        </row>
        <row r="2408">
          <cell r="A2408">
            <v>12441</v>
          </cell>
          <cell r="B2408" t="str">
            <v>2109</v>
          </cell>
        </row>
        <row r="2409">
          <cell r="A2409">
            <v>12442</v>
          </cell>
          <cell r="B2409" t="str">
            <v>2111</v>
          </cell>
        </row>
        <row r="2410">
          <cell r="A2410">
            <v>12443</v>
          </cell>
          <cell r="B2410" t="str">
            <v>2112</v>
          </cell>
        </row>
        <row r="2411">
          <cell r="A2411">
            <v>12444</v>
          </cell>
          <cell r="B2411" t="str">
            <v>2113</v>
          </cell>
        </row>
        <row r="2412">
          <cell r="A2412">
            <v>12445</v>
          </cell>
          <cell r="B2412" t="str">
            <v>2114</v>
          </cell>
        </row>
        <row r="2413">
          <cell r="A2413">
            <v>12446</v>
          </cell>
          <cell r="B2413" t="str">
            <v>2116</v>
          </cell>
        </row>
        <row r="2414">
          <cell r="A2414">
            <v>12447</v>
          </cell>
          <cell r="B2414" t="str">
            <v>2119</v>
          </cell>
        </row>
        <row r="2415">
          <cell r="A2415">
            <v>12448</v>
          </cell>
          <cell r="B2415" t="str">
            <v>2120</v>
          </cell>
        </row>
        <row r="2416">
          <cell r="A2416">
            <v>12449</v>
          </cell>
          <cell r="B2416" t="str">
            <v>3000</v>
          </cell>
        </row>
        <row r="2417">
          <cell r="A2417">
            <v>12450</v>
          </cell>
          <cell r="B2417" t="str">
            <v>3001</v>
          </cell>
        </row>
        <row r="2418">
          <cell r="A2418">
            <v>12451</v>
          </cell>
          <cell r="B2418" t="str">
            <v>3002</v>
          </cell>
        </row>
        <row r="2419">
          <cell r="A2419">
            <v>12452</v>
          </cell>
          <cell r="B2419" t="str">
            <v>3005</v>
          </cell>
        </row>
        <row r="2420">
          <cell r="A2420">
            <v>12453</v>
          </cell>
          <cell r="B2420" t="str">
            <v>3006</v>
          </cell>
        </row>
        <row r="2421">
          <cell r="A2421">
            <v>12454</v>
          </cell>
          <cell r="B2421" t="str">
            <v>*3007</v>
          </cell>
        </row>
        <row r="2422">
          <cell r="A2422">
            <v>12455</v>
          </cell>
          <cell r="B2422" t="str">
            <v>3008</v>
          </cell>
        </row>
        <row r="2423">
          <cell r="A2423">
            <v>12456</v>
          </cell>
          <cell r="B2423" t="str">
            <v>3009</v>
          </cell>
        </row>
        <row r="2424">
          <cell r="A2424">
            <v>12457</v>
          </cell>
          <cell r="B2424" t="str">
            <v>3010</v>
          </cell>
        </row>
        <row r="2425">
          <cell r="A2425">
            <v>12458</v>
          </cell>
          <cell r="B2425" t="str">
            <v>3500</v>
          </cell>
        </row>
        <row r="2426">
          <cell r="A2426">
            <v>12459</v>
          </cell>
          <cell r="B2426" t="str">
            <v>3501</v>
          </cell>
        </row>
        <row r="2427">
          <cell r="A2427">
            <v>12460</v>
          </cell>
          <cell r="B2427" t="str">
            <v>3505</v>
          </cell>
        </row>
        <row r="2428">
          <cell r="A2428">
            <v>12461</v>
          </cell>
          <cell r="B2428" t="str">
            <v>3506</v>
          </cell>
        </row>
        <row r="2429">
          <cell r="A2429">
            <v>12462</v>
          </cell>
          <cell r="B2429" t="str">
            <v>3507</v>
          </cell>
        </row>
        <row r="2430">
          <cell r="A2430">
            <v>12463</v>
          </cell>
          <cell r="B2430" t="str">
            <v>3509</v>
          </cell>
        </row>
        <row r="2431">
          <cell r="A2431">
            <v>12464</v>
          </cell>
          <cell r="B2431" t="str">
            <v>3510</v>
          </cell>
        </row>
        <row r="2432">
          <cell r="A2432">
            <v>12465</v>
          </cell>
          <cell r="B2432" t="str">
            <v>*3513</v>
          </cell>
        </row>
        <row r="2433">
          <cell r="A2433">
            <v>12466</v>
          </cell>
          <cell r="B2433" t="str">
            <v>*3514</v>
          </cell>
        </row>
        <row r="2434">
          <cell r="A2434">
            <v>12467</v>
          </cell>
          <cell r="B2434" t="str">
            <v>3515</v>
          </cell>
        </row>
        <row r="2435">
          <cell r="A2435">
            <v>12468</v>
          </cell>
          <cell r="B2435" t="str">
            <v>3516</v>
          </cell>
        </row>
        <row r="2436">
          <cell r="A2436">
            <v>12469</v>
          </cell>
          <cell r="B2436" t="str">
            <v>3517</v>
          </cell>
        </row>
        <row r="2437">
          <cell r="A2437">
            <v>12470</v>
          </cell>
          <cell r="B2437" t="str">
            <v>3518</v>
          </cell>
        </row>
        <row r="2438">
          <cell r="A2438">
            <v>12471</v>
          </cell>
          <cell r="B2438" t="str">
            <v>3519</v>
          </cell>
        </row>
        <row r="2439">
          <cell r="A2439">
            <v>12472</v>
          </cell>
          <cell r="B2439" t="str">
            <v>3520</v>
          </cell>
        </row>
        <row r="2440">
          <cell r="A2440">
            <v>12473</v>
          </cell>
          <cell r="B2440" t="str">
            <v>3521</v>
          </cell>
        </row>
        <row r="2441">
          <cell r="A2441">
            <v>12474</v>
          </cell>
          <cell r="B2441" t="str">
            <v>3522</v>
          </cell>
        </row>
        <row r="2442">
          <cell r="A2442">
            <v>12475</v>
          </cell>
          <cell r="B2442" t="str">
            <v>3524</v>
          </cell>
        </row>
        <row r="2443">
          <cell r="A2443">
            <v>12476</v>
          </cell>
          <cell r="B2443" t="str">
            <v>3525</v>
          </cell>
        </row>
        <row r="2444">
          <cell r="A2444">
            <v>12477</v>
          </cell>
          <cell r="B2444" t="str">
            <v>3526</v>
          </cell>
        </row>
        <row r="2445">
          <cell r="A2445">
            <v>12478</v>
          </cell>
          <cell r="B2445" t="str">
            <v>3528</v>
          </cell>
        </row>
        <row r="2446">
          <cell r="A2446">
            <v>12479</v>
          </cell>
          <cell r="B2446" t="str">
            <v>*4031</v>
          </cell>
        </row>
        <row r="2447">
          <cell r="A2447">
            <v>12480</v>
          </cell>
          <cell r="B2447" t="str">
            <v>4032</v>
          </cell>
        </row>
        <row r="2448">
          <cell r="A2448">
            <v>12481</v>
          </cell>
          <cell r="B2448" t="str">
            <v>*4033</v>
          </cell>
        </row>
        <row r="2449">
          <cell r="A2449">
            <v>12482</v>
          </cell>
          <cell r="B2449" t="str">
            <v>4034</v>
          </cell>
        </row>
        <row r="2450">
          <cell r="A2450">
            <v>12483</v>
          </cell>
          <cell r="B2450" t="str">
            <v>4035</v>
          </cell>
        </row>
        <row r="2451">
          <cell r="A2451">
            <v>12484</v>
          </cell>
          <cell r="B2451" t="str">
            <v>*4036</v>
          </cell>
        </row>
        <row r="2452">
          <cell r="A2452">
            <v>12485</v>
          </cell>
          <cell r="B2452" t="str">
            <v>4037</v>
          </cell>
        </row>
        <row r="2453">
          <cell r="A2453">
            <v>12486</v>
          </cell>
          <cell r="B2453" t="str">
            <v>4038</v>
          </cell>
        </row>
        <row r="2454">
          <cell r="A2454">
            <v>12487</v>
          </cell>
          <cell r="B2454" t="str">
            <v>*4039</v>
          </cell>
        </row>
        <row r="2455">
          <cell r="A2455">
            <v>12488</v>
          </cell>
          <cell r="B2455" t="str">
            <v>4040</v>
          </cell>
        </row>
        <row r="2456">
          <cell r="A2456">
            <v>12489</v>
          </cell>
          <cell r="B2456" t="str">
            <v>4600</v>
          </cell>
        </row>
        <row r="2457">
          <cell r="A2457">
            <v>12490</v>
          </cell>
          <cell r="B2457" t="str">
            <v>4601</v>
          </cell>
        </row>
        <row r="2458">
          <cell r="A2458">
            <v>12491</v>
          </cell>
          <cell r="B2458" t="str">
            <v>4603</v>
          </cell>
        </row>
        <row r="2459">
          <cell r="A2459">
            <v>12492</v>
          </cell>
          <cell r="B2459" t="str">
            <v>7504</v>
          </cell>
        </row>
        <row r="2460">
          <cell r="A2460">
            <v>12493</v>
          </cell>
          <cell r="B2460" t="str">
            <v>7506</v>
          </cell>
        </row>
        <row r="2461">
          <cell r="A2461">
            <v>12494</v>
          </cell>
          <cell r="B2461" t="str">
            <v>7508</v>
          </cell>
        </row>
        <row r="2462">
          <cell r="A2462">
            <v>12495</v>
          </cell>
          <cell r="B2462" t="str">
            <v>7509</v>
          </cell>
        </row>
        <row r="2463">
          <cell r="A2463">
            <v>12496</v>
          </cell>
          <cell r="B2463" t="str">
            <v>7510</v>
          </cell>
        </row>
        <row r="2464">
          <cell r="A2464">
            <v>12497</v>
          </cell>
          <cell r="B2464" t="str">
            <v>7511</v>
          </cell>
        </row>
        <row r="2465">
          <cell r="A2465">
            <v>12498</v>
          </cell>
          <cell r="B2465" t="str">
            <v>*FSS: Risk &amp; B.C.</v>
          </cell>
        </row>
        <row r="2466">
          <cell r="A2466">
            <v>12499</v>
          </cell>
          <cell r="B2466" t="str">
            <v>CSS Management</v>
          </cell>
        </row>
        <row r="2467">
          <cell r="A2467">
            <v>12500</v>
          </cell>
          <cell r="B2467" t="str">
            <v>*CYP Education</v>
          </cell>
        </row>
        <row r="2468">
          <cell r="A2468">
            <v>12501</v>
          </cell>
          <cell r="B2468" t="str">
            <v>Place Bus Sup</v>
          </cell>
        </row>
        <row r="2469">
          <cell r="A2469">
            <v>12502</v>
          </cell>
          <cell r="B2469" t="str">
            <v>*FSS: Systems Devt</v>
          </cell>
        </row>
        <row r="2470">
          <cell r="A2470">
            <v>12503</v>
          </cell>
          <cell r="B2470" t="str">
            <v>IT Systems</v>
          </cell>
        </row>
        <row r="2471">
          <cell r="A2471">
            <v>12504</v>
          </cell>
          <cell r="B2471" t="str">
            <v>*168 Shaw Heath</v>
          </cell>
        </row>
        <row r="2472">
          <cell r="A2472">
            <v>12505</v>
          </cell>
          <cell r="B2472" t="str">
            <v>*Osbourne Road</v>
          </cell>
        </row>
        <row r="2473">
          <cell r="A2473">
            <v>12506</v>
          </cell>
          <cell r="B2473" t="str">
            <v>*ICT: School Project</v>
          </cell>
        </row>
        <row r="2474">
          <cell r="A2474">
            <v>12507</v>
          </cell>
          <cell r="B2474" t="str">
            <v>*Info: Scanning Team</v>
          </cell>
        </row>
        <row r="2475">
          <cell r="A2475">
            <v>12508</v>
          </cell>
          <cell r="B2475" t="str">
            <v>*ICMA Project</v>
          </cell>
        </row>
        <row r="2476">
          <cell r="A2476">
            <v>12509</v>
          </cell>
          <cell r="B2476" t="str">
            <v>*Aspergers Service</v>
          </cell>
        </row>
        <row r="2477">
          <cell r="A2477">
            <v>12510</v>
          </cell>
          <cell r="B2477" t="str">
            <v>Car Park Maintenance</v>
          </cell>
        </row>
        <row r="2478">
          <cell r="A2478">
            <v>12511</v>
          </cell>
          <cell r="B2478" t="str">
            <v>*AGMA Scrutiny</v>
          </cell>
        </row>
        <row r="2479">
          <cell r="A2479">
            <v>12512</v>
          </cell>
          <cell r="B2479" t="str">
            <v>*Dementia Demonstrat</v>
          </cell>
        </row>
        <row r="2480">
          <cell r="A2480">
            <v>12513</v>
          </cell>
          <cell r="B2480" t="str">
            <v>2284</v>
          </cell>
        </row>
        <row r="2481">
          <cell r="A2481">
            <v>12514</v>
          </cell>
          <cell r="B2481" t="str">
            <v>*FSS: SAP Upgrade</v>
          </cell>
        </row>
        <row r="2482">
          <cell r="A2482">
            <v>12515</v>
          </cell>
          <cell r="B2482" t="str">
            <v>*ILT4</v>
          </cell>
        </row>
        <row r="2483">
          <cell r="A2483">
            <v>12516</v>
          </cell>
          <cell r="B2483" t="str">
            <v>*ILT3</v>
          </cell>
        </row>
        <row r="2484">
          <cell r="A2484">
            <v>12517</v>
          </cell>
          <cell r="B2484" t="str">
            <v>*Shared Services AGM</v>
          </cell>
        </row>
        <row r="2485">
          <cell r="A2485">
            <v>12518</v>
          </cell>
          <cell r="B2485" t="str">
            <v>*ILT2</v>
          </cell>
        </row>
        <row r="2486">
          <cell r="A2486">
            <v>12519</v>
          </cell>
          <cell r="B2486" t="str">
            <v>*ILT1</v>
          </cell>
        </row>
        <row r="2487">
          <cell r="A2487">
            <v>12520</v>
          </cell>
          <cell r="B2487" t="str">
            <v>Non Residential Inc</v>
          </cell>
        </row>
        <row r="2488">
          <cell r="A2488">
            <v>12521</v>
          </cell>
          <cell r="B2488" t="str">
            <v>*NWTWC - TSF</v>
          </cell>
        </row>
        <row r="2489">
          <cell r="A2489">
            <v>12522</v>
          </cell>
          <cell r="B2489" t="str">
            <v>IT Telephony</v>
          </cell>
        </row>
        <row r="2490">
          <cell r="A2490">
            <v>12523</v>
          </cell>
          <cell r="B2490" t="str">
            <v>*Future Jobs Fund</v>
          </cell>
        </row>
        <row r="2491">
          <cell r="A2491">
            <v>12524</v>
          </cell>
          <cell r="B2491" t="str">
            <v>*EHP CC Abacus Bridg</v>
          </cell>
        </row>
        <row r="2492">
          <cell r="A2492">
            <v>12525</v>
          </cell>
          <cell r="B2492" t="str">
            <v>*EHP CC Heald Grn Sa</v>
          </cell>
        </row>
        <row r="2493">
          <cell r="A2493">
            <v>12526</v>
          </cell>
          <cell r="B2493" t="str">
            <v>*ILT4 Purchasing</v>
          </cell>
        </row>
        <row r="2494">
          <cell r="A2494">
            <v>12527</v>
          </cell>
          <cell r="B2494" t="str">
            <v>*ILT3 Purchasing</v>
          </cell>
        </row>
        <row r="2495">
          <cell r="A2495">
            <v>12528</v>
          </cell>
          <cell r="B2495" t="str">
            <v>*ILT2 Purchasing</v>
          </cell>
        </row>
        <row r="2496">
          <cell r="A2496">
            <v>12529</v>
          </cell>
          <cell r="B2496" t="str">
            <v>*ILT1 Purchasing</v>
          </cell>
        </row>
        <row r="2497">
          <cell r="A2497">
            <v>12530</v>
          </cell>
          <cell r="B2497" t="str">
            <v>SADLs Service</v>
          </cell>
        </row>
        <row r="2498">
          <cell r="A2498">
            <v>12531</v>
          </cell>
          <cell r="B2498" t="str">
            <v>E &amp; A Team 1</v>
          </cell>
        </row>
        <row r="2499">
          <cell r="A2499">
            <v>12532</v>
          </cell>
          <cell r="B2499" t="str">
            <v>*E &amp; A Team 2</v>
          </cell>
        </row>
        <row r="2500">
          <cell r="A2500">
            <v>12533</v>
          </cell>
          <cell r="B2500" t="str">
            <v>*Holly Bank</v>
          </cell>
        </row>
        <row r="2501">
          <cell r="A2501">
            <v>12534</v>
          </cell>
          <cell r="B2501" t="str">
            <v>14-19 -Co-ordination</v>
          </cell>
        </row>
        <row r="2502">
          <cell r="A2502">
            <v>12535</v>
          </cell>
          <cell r="B2502" t="str">
            <v>*Secondary 1-2-1</v>
          </cell>
        </row>
        <row r="2503">
          <cell r="A2503">
            <v>12536</v>
          </cell>
          <cell r="B2503" t="str">
            <v>*ICT-Tech S Trading</v>
          </cell>
        </row>
        <row r="2504">
          <cell r="A2504">
            <v>12537</v>
          </cell>
          <cell r="B2504" t="str">
            <v>*ICT-Desktop Trading</v>
          </cell>
        </row>
        <row r="2505">
          <cell r="A2505">
            <v>12538</v>
          </cell>
          <cell r="B2505" t="str">
            <v>*ICT-Infra Trading</v>
          </cell>
        </row>
        <row r="2506">
          <cell r="A2506">
            <v>12539</v>
          </cell>
          <cell r="B2506" t="str">
            <v>*ICT-Mobiles Trading</v>
          </cell>
        </row>
        <row r="2507">
          <cell r="A2507">
            <v>12540</v>
          </cell>
          <cell r="B2507" t="str">
            <v>*EIG Contingency</v>
          </cell>
        </row>
        <row r="2508">
          <cell r="A2508">
            <v>12541</v>
          </cell>
          <cell r="B2508" t="str">
            <v>*Brin Girls Allowed</v>
          </cell>
        </row>
        <row r="2509">
          <cell r="A2509">
            <v>12542</v>
          </cell>
          <cell r="B2509" t="str">
            <v>*LA Young Peoples</v>
          </cell>
        </row>
        <row r="2510">
          <cell r="A2510">
            <v>12543</v>
          </cell>
          <cell r="B2510" t="str">
            <v>*ITASC Sch Nurse</v>
          </cell>
        </row>
        <row r="2511">
          <cell r="A2511">
            <v>12544</v>
          </cell>
          <cell r="B2511" t="str">
            <v>*ITASC Youth Worker</v>
          </cell>
        </row>
        <row r="2512">
          <cell r="A2512">
            <v>12545</v>
          </cell>
          <cell r="B2512" t="str">
            <v>*ITASC Drug&amp;Alcohol</v>
          </cell>
        </row>
        <row r="2513">
          <cell r="A2513">
            <v>12546</v>
          </cell>
          <cell r="B2513" t="str">
            <v>*ITASC Chester Uni</v>
          </cell>
        </row>
        <row r="2514">
          <cell r="A2514">
            <v>12547</v>
          </cell>
          <cell r="B2514" t="str">
            <v>*Good to Great</v>
          </cell>
        </row>
        <row r="2515">
          <cell r="A2515">
            <v>12548</v>
          </cell>
          <cell r="B2515" t="str">
            <v>*Inc in Free Entitle</v>
          </cell>
        </row>
        <row r="2516">
          <cell r="A2516">
            <v>12549</v>
          </cell>
          <cell r="B2516" t="str">
            <v>*YPD Team Manager</v>
          </cell>
        </row>
        <row r="2517">
          <cell r="A2517">
            <v>12550</v>
          </cell>
          <cell r="B2517" t="str">
            <v>*IC SW East Team</v>
          </cell>
        </row>
        <row r="2518">
          <cell r="A2518">
            <v>12551</v>
          </cell>
          <cell r="B2518" t="str">
            <v>*IC SW West Team</v>
          </cell>
        </row>
        <row r="2519">
          <cell r="A2519">
            <v>12552</v>
          </cell>
          <cell r="B2519" t="str">
            <v>*Prepayment Cards</v>
          </cell>
        </row>
        <row r="2520">
          <cell r="A2520">
            <v>12553</v>
          </cell>
          <cell r="B2520" t="str">
            <v>*MicroBusiness Dev</v>
          </cell>
        </row>
        <row r="2521">
          <cell r="A2521">
            <v>12554</v>
          </cell>
          <cell r="B2521" t="str">
            <v>*Invest to Save Proj</v>
          </cell>
        </row>
        <row r="2522">
          <cell r="A2522">
            <v>12555</v>
          </cell>
          <cell r="B2522" t="str">
            <v>Park Road Number 6</v>
          </cell>
        </row>
        <row r="2523">
          <cell r="A2523">
            <v>12556</v>
          </cell>
          <cell r="B2523" t="str">
            <v>*Park Road Number 4</v>
          </cell>
        </row>
        <row r="2524">
          <cell r="A2524">
            <v>12557</v>
          </cell>
          <cell r="B2524" t="str">
            <v>*Park Road Number 2</v>
          </cell>
        </row>
        <row r="2525">
          <cell r="A2525">
            <v>12558</v>
          </cell>
          <cell r="B2525" t="str">
            <v>*Offerton Fold</v>
          </cell>
        </row>
        <row r="2526">
          <cell r="A2526">
            <v>12559</v>
          </cell>
          <cell r="B2526" t="str">
            <v>*Blossoms Hey</v>
          </cell>
        </row>
        <row r="2527">
          <cell r="A2527">
            <v>12560</v>
          </cell>
          <cell r="B2527" t="str">
            <v>*PS Every Child Proj</v>
          </cell>
        </row>
        <row r="2528">
          <cell r="A2528">
            <v>12561</v>
          </cell>
          <cell r="B2528" t="str">
            <v>*Enhanced Appre</v>
          </cell>
        </row>
        <row r="2529">
          <cell r="A2529">
            <v>12562</v>
          </cell>
          <cell r="B2529" t="str">
            <v>*Youth U/emp &amp; Enter</v>
          </cell>
        </row>
        <row r="2530">
          <cell r="A2530">
            <v>12563</v>
          </cell>
          <cell r="B2530" t="str">
            <v>*Work With Boys +Men</v>
          </cell>
        </row>
        <row r="2531">
          <cell r="A2531">
            <v>12564</v>
          </cell>
          <cell r="B2531" t="str">
            <v>*SFYP Town Centre P</v>
          </cell>
        </row>
        <row r="2532">
          <cell r="A2532">
            <v>12565</v>
          </cell>
          <cell r="B2532" t="str">
            <v>*SFYP-Future Jobs Fu</v>
          </cell>
        </row>
        <row r="2533">
          <cell r="A2533">
            <v>12566</v>
          </cell>
          <cell r="B2533" t="str">
            <v>*Newlands SB</v>
          </cell>
        </row>
        <row r="2534">
          <cell r="A2534">
            <v>12567</v>
          </cell>
          <cell r="B2534" t="str">
            <v>*SFYP Development F</v>
          </cell>
        </row>
        <row r="2535">
          <cell r="A2535">
            <v>12568</v>
          </cell>
          <cell r="B2535" t="str">
            <v>*SC - PIF Emotiona A</v>
          </cell>
        </row>
        <row r="2536">
          <cell r="A2536">
            <v>12569</v>
          </cell>
          <cell r="B2536" t="str">
            <v>*SC - PIF Signpost</v>
          </cell>
        </row>
        <row r="2537">
          <cell r="A2537">
            <v>12570</v>
          </cell>
          <cell r="B2537" t="str">
            <v>I/CARE FT</v>
          </cell>
        </row>
        <row r="2538">
          <cell r="A2538">
            <v>12571</v>
          </cell>
          <cell r="B2538" t="str">
            <v>*I/CARE PCT</v>
          </cell>
        </row>
        <row r="2539">
          <cell r="A2539">
            <v>12572</v>
          </cell>
          <cell r="B2539" t="str">
            <v>DSG Cen Retained</v>
          </cell>
        </row>
        <row r="2540">
          <cell r="A2540">
            <v>12573</v>
          </cell>
          <cell r="B2540" t="str">
            <v>*Reablement Services</v>
          </cell>
        </row>
        <row r="2541">
          <cell r="A2541">
            <v>12574</v>
          </cell>
          <cell r="B2541" t="str">
            <v>*4032 PSP</v>
          </cell>
        </row>
        <row r="2542">
          <cell r="A2542">
            <v>12575</v>
          </cell>
          <cell r="B2542" t="str">
            <v>Business Loan (PRG)</v>
          </cell>
        </row>
        <row r="2543">
          <cell r="A2543">
            <v>12576</v>
          </cell>
          <cell r="B2543" t="str">
            <v>HLF Skills for Futur</v>
          </cell>
        </row>
        <row r="2544">
          <cell r="A2544">
            <v>12577</v>
          </cell>
          <cell r="B2544" t="str">
            <v>PDL Management</v>
          </cell>
        </row>
        <row r="2545">
          <cell r="A2545">
            <v>12578</v>
          </cell>
          <cell r="B2545" t="str">
            <v>SG - GM Safeguarding</v>
          </cell>
        </row>
        <row r="2546">
          <cell r="A2546">
            <v>12579</v>
          </cell>
          <cell r="B2546" t="str">
            <v>*Every Childs ATalke</v>
          </cell>
        </row>
        <row r="2547">
          <cell r="A2547">
            <v>12580</v>
          </cell>
          <cell r="B2547" t="str">
            <v>*IPS Disability  DP</v>
          </cell>
        </row>
        <row r="2548">
          <cell r="A2548">
            <v>12581</v>
          </cell>
          <cell r="B2548" t="str">
            <v>*Hospital Team</v>
          </cell>
        </row>
        <row r="2549">
          <cell r="A2549">
            <v>12582</v>
          </cell>
          <cell r="B2549" t="str">
            <v>Env Agncy Levy Pymnt</v>
          </cell>
        </row>
        <row r="2550">
          <cell r="A2550">
            <v>12583</v>
          </cell>
          <cell r="B2550" t="str">
            <v>VAT only invoices</v>
          </cell>
        </row>
        <row r="2551">
          <cell r="A2551">
            <v>12584</v>
          </cell>
          <cell r="B2551" t="str">
            <v>*POD End of Life Pro</v>
          </cell>
        </row>
        <row r="2552">
          <cell r="A2552">
            <v>12585</v>
          </cell>
          <cell r="B2552" t="str">
            <v>Ind Sch Grant Income</v>
          </cell>
        </row>
        <row r="2553">
          <cell r="A2553">
            <v>12586</v>
          </cell>
          <cell r="B2553" t="str">
            <v>*DCATCH</v>
          </cell>
        </row>
        <row r="2554">
          <cell r="A2554">
            <v>12587</v>
          </cell>
          <cell r="B2554" t="str">
            <v>*HR- Emp Relations</v>
          </cell>
        </row>
        <row r="2555">
          <cell r="A2555">
            <v>12588</v>
          </cell>
          <cell r="B2555" t="str">
            <v>*HR- Recruitment</v>
          </cell>
        </row>
        <row r="2556">
          <cell r="A2556">
            <v>12589</v>
          </cell>
          <cell r="B2556" t="str">
            <v>*HR- Contract &amp; Payr</v>
          </cell>
        </row>
        <row r="2557">
          <cell r="A2557">
            <v>12590</v>
          </cell>
          <cell r="B2557" t="str">
            <v>POD Core Staffing</v>
          </cell>
        </row>
        <row r="2558">
          <cell r="A2558">
            <v>12591</v>
          </cell>
          <cell r="B2558" t="str">
            <v>*POD Payroll Tec</v>
          </cell>
        </row>
        <row r="2559">
          <cell r="A2559">
            <v>12592</v>
          </cell>
          <cell r="B2559" t="str">
            <v>*HR- Emp Prog</v>
          </cell>
        </row>
        <row r="2560">
          <cell r="A2560">
            <v>12593</v>
          </cell>
          <cell r="B2560" t="str">
            <v>POD Switch</v>
          </cell>
        </row>
        <row r="2561">
          <cell r="A2561">
            <v>12594</v>
          </cell>
          <cell r="B2561" t="str">
            <v>*Child Poverty</v>
          </cell>
        </row>
        <row r="2562">
          <cell r="A2562">
            <v>12595</v>
          </cell>
          <cell r="B2562" t="str">
            <v>Houldsworth Mill</v>
          </cell>
        </row>
        <row r="2563">
          <cell r="A2563">
            <v>12596</v>
          </cell>
          <cell r="B2563" t="str">
            <v>NW EAL Hub</v>
          </cell>
        </row>
        <row r="2564">
          <cell r="A2564">
            <v>12597</v>
          </cell>
          <cell r="B2564" t="str">
            <v>*New Ways of Working</v>
          </cell>
        </row>
        <row r="2565">
          <cell r="A2565">
            <v>12598</v>
          </cell>
          <cell r="B2565" t="str">
            <v>Grand Central IE</v>
          </cell>
        </row>
        <row r="2566">
          <cell r="A2566">
            <v>12599</v>
          </cell>
          <cell r="B2566" t="str">
            <v>*Reablement Monies</v>
          </cell>
        </row>
        <row r="2567">
          <cell r="A2567">
            <v>12600</v>
          </cell>
          <cell r="B2567" t="str">
            <v>EHP Early Interventn</v>
          </cell>
        </row>
        <row r="2568">
          <cell r="A2568">
            <v>12601</v>
          </cell>
          <cell r="B2568" t="str">
            <v>*Winter Pressures</v>
          </cell>
        </row>
        <row r="2569">
          <cell r="A2569">
            <v>12602</v>
          </cell>
          <cell r="B2569" t="str">
            <v>Cont to Housing Pool</v>
          </cell>
        </row>
        <row r="2570">
          <cell r="A2570">
            <v>12603</v>
          </cell>
          <cell r="B2570" t="str">
            <v>3530</v>
          </cell>
        </row>
        <row r="2571">
          <cell r="A2571">
            <v>12604</v>
          </cell>
          <cell r="B2571" t="str">
            <v>Vale View Prim Sch</v>
          </cell>
        </row>
        <row r="2572">
          <cell r="A2572">
            <v>12605</v>
          </cell>
          <cell r="B2572" t="str">
            <v>3529</v>
          </cell>
        </row>
        <row r="2573">
          <cell r="A2573">
            <v>12606</v>
          </cell>
          <cell r="B2573" t="str">
            <v>*Vale View Special U</v>
          </cell>
        </row>
        <row r="2574">
          <cell r="A2574">
            <v>12607</v>
          </cell>
          <cell r="B2574" t="str">
            <v>St Joseph's (RC) Red</v>
          </cell>
        </row>
        <row r="2575">
          <cell r="A2575">
            <v>12608</v>
          </cell>
          <cell r="B2575" t="str">
            <v>*Switch Project</v>
          </cell>
        </row>
        <row r="2576">
          <cell r="A2576">
            <v>12609</v>
          </cell>
          <cell r="B2576" t="str">
            <v>*DSG AST</v>
          </cell>
        </row>
        <row r="2577">
          <cell r="A2577">
            <v>12610</v>
          </cell>
          <cell r="B2577" t="str">
            <v>*DSG G&amp;T</v>
          </cell>
        </row>
        <row r="2578">
          <cell r="A2578">
            <v>12611</v>
          </cell>
          <cell r="B2578" t="str">
            <v>DSG EiP</v>
          </cell>
        </row>
        <row r="2579">
          <cell r="A2579">
            <v>12612</v>
          </cell>
          <cell r="B2579" t="str">
            <v>*DSG Ex Sch</v>
          </cell>
        </row>
        <row r="2580">
          <cell r="A2580">
            <v>12613</v>
          </cell>
          <cell r="B2580" t="str">
            <v>DSG Sch Intervention</v>
          </cell>
        </row>
        <row r="2581">
          <cell r="A2581">
            <v>12614</v>
          </cell>
          <cell r="B2581" t="str">
            <v>DSG Sch WFR</v>
          </cell>
        </row>
        <row r="2582">
          <cell r="A2582">
            <v>12615</v>
          </cell>
          <cell r="B2582" t="str">
            <v>*DSG Inclusion</v>
          </cell>
        </row>
        <row r="2583">
          <cell r="A2583">
            <v>12616</v>
          </cell>
          <cell r="B2583" t="str">
            <v>*Other DSG Grants</v>
          </cell>
        </row>
        <row r="2584">
          <cell r="A2584">
            <v>12617</v>
          </cell>
          <cell r="B2584" t="str">
            <v>NCSL PRU Collab</v>
          </cell>
        </row>
        <row r="2585">
          <cell r="A2585">
            <v>12618</v>
          </cell>
          <cell r="B2585" t="str">
            <v>*Carbon Reduction Co</v>
          </cell>
        </row>
        <row r="2586">
          <cell r="A2586">
            <v>12619</v>
          </cell>
          <cell r="B2586" t="str">
            <v>CADLs Service</v>
          </cell>
        </row>
        <row r="2587">
          <cell r="A2587">
            <v>12620</v>
          </cell>
          <cell r="B2587" t="str">
            <v>*PTG Exemplar Projec</v>
          </cell>
        </row>
        <row r="2588">
          <cell r="A2588">
            <v>12621</v>
          </cell>
          <cell r="B2588" t="str">
            <v>*MOS - Mosaic NHS</v>
          </cell>
        </row>
        <row r="2589">
          <cell r="A2589">
            <v>12622</v>
          </cell>
          <cell r="B2589" t="str">
            <v>*MOS - Spec Trtmnt Y</v>
          </cell>
        </row>
        <row r="2590">
          <cell r="A2590">
            <v>12623</v>
          </cell>
          <cell r="B2590" t="str">
            <v>*MOS - Drug Inter Pr</v>
          </cell>
        </row>
        <row r="2591">
          <cell r="A2591">
            <v>12624</v>
          </cell>
          <cell r="B2591" t="str">
            <v>*MOS - Premises Cont</v>
          </cell>
        </row>
        <row r="2592">
          <cell r="A2592">
            <v>12625</v>
          </cell>
          <cell r="B2592" t="str">
            <v>*HCP - Health Visiti</v>
          </cell>
        </row>
        <row r="2593">
          <cell r="A2593">
            <v>12626</v>
          </cell>
          <cell r="B2593" t="str">
            <v>*HCP - School Nursin</v>
          </cell>
        </row>
        <row r="2594">
          <cell r="A2594">
            <v>12627</v>
          </cell>
          <cell r="B2594" t="str">
            <v>*HCP - Comm Devlpt N</v>
          </cell>
        </row>
        <row r="2595">
          <cell r="A2595">
            <v>12628</v>
          </cell>
          <cell r="B2595" t="str">
            <v>*NHS - Community Equ</v>
          </cell>
        </row>
        <row r="2596">
          <cell r="A2596">
            <v>12629</v>
          </cell>
          <cell r="B2596" t="str">
            <v>*NHS - Physio Servic</v>
          </cell>
        </row>
        <row r="2597">
          <cell r="A2597">
            <v>12630</v>
          </cell>
          <cell r="B2597" t="str">
            <v>*NHS - S &amp; L Therapy</v>
          </cell>
        </row>
        <row r="2598">
          <cell r="A2598">
            <v>12631</v>
          </cell>
          <cell r="B2598" t="str">
            <v>*NHS - Occ Therapy</v>
          </cell>
        </row>
        <row r="2599">
          <cell r="A2599">
            <v>12632</v>
          </cell>
          <cell r="B2599" t="str">
            <v>*NHS - Therapy Admin</v>
          </cell>
        </row>
        <row r="2600">
          <cell r="A2600">
            <v>12633</v>
          </cell>
          <cell r="B2600" t="str">
            <v>*NHS - NHS Equipment</v>
          </cell>
        </row>
        <row r="2601">
          <cell r="A2601">
            <v>12634</v>
          </cell>
          <cell r="B2601" t="str">
            <v>*NHS Con' Care Respi</v>
          </cell>
        </row>
        <row r="2602">
          <cell r="A2602">
            <v>12635</v>
          </cell>
          <cell r="B2602" t="str">
            <v>M H Pooled Budget</v>
          </cell>
        </row>
        <row r="2603">
          <cell r="A2603">
            <v>12636</v>
          </cell>
          <cell r="B2603" t="str">
            <v>*20 Higson Avenue</v>
          </cell>
        </row>
        <row r="2604">
          <cell r="A2604">
            <v>12637</v>
          </cell>
          <cell r="B2604" t="str">
            <v>*Grounds Maintenance</v>
          </cell>
        </row>
        <row r="2605">
          <cell r="A2605">
            <v>12638</v>
          </cell>
          <cell r="B2605" t="str">
            <v>*PDL SMBC Contrib</v>
          </cell>
        </row>
        <row r="2606">
          <cell r="A2606">
            <v>12639</v>
          </cell>
          <cell r="B2606" t="str">
            <v>*Drain &amp; Cont Proc T</v>
          </cell>
        </row>
        <row r="2607">
          <cell r="A2607">
            <v>12640</v>
          </cell>
          <cell r="B2607" t="str">
            <v>Bridgefield Budget</v>
          </cell>
        </row>
        <row r="2608">
          <cell r="A2608">
            <v>12641</v>
          </cell>
          <cell r="B2608" t="str">
            <v>*ICT AVA Trading</v>
          </cell>
        </row>
        <row r="2609">
          <cell r="A2609">
            <v>12642</v>
          </cell>
          <cell r="B2609" t="str">
            <v>Strategy &amp; Design</v>
          </cell>
        </row>
        <row r="2610">
          <cell r="A2610">
            <v>12643</v>
          </cell>
          <cell r="B2610" t="str">
            <v>*Woodford Areodrome</v>
          </cell>
        </row>
        <row r="2611">
          <cell r="A2611">
            <v>12644</v>
          </cell>
          <cell r="B2611" t="str">
            <v>*Vanguard Wellbeing</v>
          </cell>
        </row>
        <row r="2612">
          <cell r="A2612">
            <v>12645</v>
          </cell>
          <cell r="B2612" t="str">
            <v>*Prev &amp; Personalisat</v>
          </cell>
        </row>
        <row r="2613">
          <cell r="A2613">
            <v>12646</v>
          </cell>
          <cell r="B2613" t="str">
            <v>*Prev thru Peer Supp</v>
          </cell>
        </row>
        <row r="2614">
          <cell r="A2614">
            <v>12647</v>
          </cell>
          <cell r="B2614" t="str">
            <v>MH external projects</v>
          </cell>
        </row>
        <row r="2615">
          <cell r="A2615">
            <v>12648</v>
          </cell>
          <cell r="B2615" t="str">
            <v>SBIC</v>
          </cell>
        </row>
        <row r="2616">
          <cell r="A2616">
            <v>12649</v>
          </cell>
          <cell r="B2616" t="str">
            <v>MH Liaison Service</v>
          </cell>
        </row>
        <row r="2617">
          <cell r="A2617">
            <v>12650</v>
          </cell>
          <cell r="B2617" t="str">
            <v>GMRAPS</v>
          </cell>
        </row>
        <row r="2618">
          <cell r="A2618">
            <v>12651</v>
          </cell>
          <cell r="B2618" t="str">
            <v>PIF Match funding BS</v>
          </cell>
        </row>
        <row r="2619">
          <cell r="A2619">
            <v>12652</v>
          </cell>
          <cell r="B2619" t="str">
            <v>PIF Participatory BS</v>
          </cell>
        </row>
        <row r="2620">
          <cell r="A2620">
            <v>12653</v>
          </cell>
          <cell r="B2620" t="str">
            <v>*SeNS - Shared</v>
          </cell>
        </row>
        <row r="2621">
          <cell r="A2621">
            <v>12654</v>
          </cell>
          <cell r="B2621" t="str">
            <v>Borough Festive Ligh</v>
          </cell>
        </row>
        <row r="2622">
          <cell r="A2622">
            <v>12655</v>
          </cell>
          <cell r="B2622" t="str">
            <v>*A6 Ph 2 Acc Study</v>
          </cell>
        </row>
        <row r="2623">
          <cell r="A2623">
            <v>12656</v>
          </cell>
          <cell r="B2623" t="str">
            <v>*Bus Station redevel</v>
          </cell>
        </row>
        <row r="2624">
          <cell r="A2624">
            <v>12657</v>
          </cell>
          <cell r="B2624" t="str">
            <v>*Car Parking Strateg</v>
          </cell>
        </row>
        <row r="2625">
          <cell r="A2625">
            <v>12658</v>
          </cell>
          <cell r="B2625" t="str">
            <v>Covent Garden Villag</v>
          </cell>
        </row>
        <row r="2626">
          <cell r="A2626">
            <v>12659</v>
          </cell>
          <cell r="B2626" t="str">
            <v>*SeNS - Educate</v>
          </cell>
        </row>
        <row r="2627">
          <cell r="A2627">
            <v>12660</v>
          </cell>
          <cell r="B2627" t="str">
            <v>*24 Radford Close</v>
          </cell>
        </row>
        <row r="2628">
          <cell r="A2628">
            <v>12661</v>
          </cell>
          <cell r="B2628" t="str">
            <v>*Covent Gdn Rent Inc</v>
          </cell>
        </row>
        <row r="2629">
          <cell r="A2629">
            <v>12662</v>
          </cell>
          <cell r="B2629" t="str">
            <v>PV Scheme</v>
          </cell>
        </row>
        <row r="2630">
          <cell r="A2630">
            <v>12663</v>
          </cell>
          <cell r="B2630" t="str">
            <v>*Landscape Design</v>
          </cell>
        </row>
        <row r="2631">
          <cell r="A2631">
            <v>12664</v>
          </cell>
          <cell r="B2631" t="str">
            <v>CHEADLE HULME ACADEM</v>
          </cell>
        </row>
        <row r="2632">
          <cell r="A2632">
            <v>12665</v>
          </cell>
          <cell r="B2632" t="str">
            <v>HAZEL GROVE ACADEMY</v>
          </cell>
        </row>
        <row r="2633">
          <cell r="A2633">
            <v>12666</v>
          </cell>
          <cell r="B2633" t="str">
            <v>REDDISH VALE ACADEMY</v>
          </cell>
        </row>
        <row r="2634">
          <cell r="A2634">
            <v>12667</v>
          </cell>
          <cell r="B2634" t="str">
            <v>SEMMS Road Scheme</v>
          </cell>
        </row>
        <row r="2635">
          <cell r="A2635">
            <v>12668</v>
          </cell>
          <cell r="B2635" t="str">
            <v>Debenhams IE</v>
          </cell>
        </row>
        <row r="2636">
          <cell r="A2636">
            <v>12669</v>
          </cell>
          <cell r="B2636" t="str">
            <v>HRA Capital G&amp;C</v>
          </cell>
        </row>
        <row r="2637">
          <cell r="A2637">
            <v>12670</v>
          </cell>
          <cell r="B2637" t="str">
            <v>LD Bureau Charges</v>
          </cell>
        </row>
        <row r="2638">
          <cell r="A2638">
            <v>12671</v>
          </cell>
          <cell r="B2638" t="str">
            <v>*Highways Coring</v>
          </cell>
        </row>
        <row r="2639">
          <cell r="A2639">
            <v>12672</v>
          </cell>
          <cell r="B2639" t="str">
            <v>*Community Projects</v>
          </cell>
        </row>
        <row r="2640">
          <cell r="A2640">
            <v>12673</v>
          </cell>
          <cell r="B2640" t="str">
            <v>*PIF Comm. First PB</v>
          </cell>
        </row>
        <row r="2641">
          <cell r="A2641">
            <v>12674</v>
          </cell>
          <cell r="B2641" t="str">
            <v>LD Health Staff</v>
          </cell>
        </row>
        <row r="2642">
          <cell r="A2642">
            <v>12675</v>
          </cell>
          <cell r="B2642" t="str">
            <v>*PPR Unit</v>
          </cell>
        </row>
        <row r="2643">
          <cell r="A2643">
            <v>12676</v>
          </cell>
          <cell r="B2643" t="str">
            <v>*MH Recovery</v>
          </cell>
        </row>
        <row r="2644">
          <cell r="A2644">
            <v>12677</v>
          </cell>
          <cell r="B2644" t="str">
            <v>Brokerage Service</v>
          </cell>
        </row>
        <row r="2645">
          <cell r="A2645">
            <v>12678</v>
          </cell>
          <cell r="B2645" t="str">
            <v>High St Inno Fund</v>
          </cell>
        </row>
        <row r="2646">
          <cell r="A2646">
            <v>12679</v>
          </cell>
          <cell r="B2646" t="str">
            <v>Offerton Community C</v>
          </cell>
        </row>
        <row r="2647">
          <cell r="A2647">
            <v>12680</v>
          </cell>
          <cell r="B2647" t="str">
            <v>Portas Pilot</v>
          </cell>
        </row>
        <row r="2648">
          <cell r="A2648">
            <v>12681</v>
          </cell>
          <cell r="B2648" t="str">
            <v>Drainage Works</v>
          </cell>
        </row>
        <row r="2649">
          <cell r="A2649">
            <v>12682</v>
          </cell>
          <cell r="B2649" t="str">
            <v>Green Regeneration F</v>
          </cell>
        </row>
        <row r="2650">
          <cell r="A2650">
            <v>12683</v>
          </cell>
          <cell r="B2650" t="str">
            <v>*Information &amp; Knowl</v>
          </cell>
        </row>
        <row r="2651">
          <cell r="A2651">
            <v>12684</v>
          </cell>
          <cell r="B2651" t="str">
            <v>*Backlog Highways</v>
          </cell>
        </row>
        <row r="2652">
          <cell r="A2652">
            <v>12685</v>
          </cell>
          <cell r="B2652" t="str">
            <v>Shuttle Bus</v>
          </cell>
        </row>
        <row r="2653">
          <cell r="A2653">
            <v>12686</v>
          </cell>
          <cell r="B2653" t="str">
            <v>*Cherry Tree Flat 1</v>
          </cell>
        </row>
        <row r="2654">
          <cell r="A2654">
            <v>12687</v>
          </cell>
          <cell r="B2654" t="str">
            <v>*Cherry Tree Flat 2</v>
          </cell>
        </row>
        <row r="2655">
          <cell r="A2655">
            <v>12688</v>
          </cell>
          <cell r="B2655" t="str">
            <v>*Cherry Tree Flat 3</v>
          </cell>
        </row>
        <row r="2656">
          <cell r="A2656">
            <v>12689</v>
          </cell>
          <cell r="B2656" t="str">
            <v>*Cherry Tree Flat 4</v>
          </cell>
        </row>
        <row r="2657">
          <cell r="A2657">
            <v>12690</v>
          </cell>
          <cell r="B2657" t="str">
            <v>*Cherry Tree Flat 5</v>
          </cell>
        </row>
        <row r="2658">
          <cell r="A2658">
            <v>12691</v>
          </cell>
          <cell r="B2658" t="str">
            <v>*Cherry Tree Flat 6</v>
          </cell>
        </row>
        <row r="2659">
          <cell r="A2659">
            <v>12692</v>
          </cell>
          <cell r="B2659" t="str">
            <v>*Cherry Tree Flat 7</v>
          </cell>
        </row>
        <row r="2660">
          <cell r="A2660">
            <v>12693</v>
          </cell>
          <cell r="B2660" t="str">
            <v>*Cherry Tree Flat 8</v>
          </cell>
        </row>
        <row r="2661">
          <cell r="A2661">
            <v>12694</v>
          </cell>
          <cell r="B2661" t="str">
            <v>Cherry Tree</v>
          </cell>
        </row>
        <row r="2662">
          <cell r="A2662">
            <v>12695</v>
          </cell>
          <cell r="B2662" t="str">
            <v>*Dawlish Flat One</v>
          </cell>
        </row>
        <row r="2663">
          <cell r="A2663">
            <v>12696</v>
          </cell>
          <cell r="B2663" t="str">
            <v>*Dawlish Flat Two</v>
          </cell>
        </row>
        <row r="2664">
          <cell r="A2664">
            <v>12697</v>
          </cell>
          <cell r="B2664" t="str">
            <v>*Dawlish Flat Three</v>
          </cell>
        </row>
        <row r="2665">
          <cell r="A2665">
            <v>12698</v>
          </cell>
          <cell r="B2665" t="str">
            <v>*Dawlish Flat Four</v>
          </cell>
        </row>
        <row r="2666">
          <cell r="A2666">
            <v>12699</v>
          </cell>
          <cell r="B2666" t="str">
            <v>*Dawlish Flat Five</v>
          </cell>
        </row>
        <row r="2667">
          <cell r="A2667">
            <v>12700</v>
          </cell>
          <cell r="B2667" t="str">
            <v>*Dawlish Flat Six</v>
          </cell>
        </row>
        <row r="2668">
          <cell r="A2668">
            <v>12701</v>
          </cell>
          <cell r="B2668" t="str">
            <v>Dawlish Avenue</v>
          </cell>
        </row>
        <row r="2669">
          <cell r="A2669">
            <v>12702</v>
          </cell>
          <cell r="B2669" t="str">
            <v>*46 Forbes Road In H</v>
          </cell>
        </row>
        <row r="2670">
          <cell r="A2670">
            <v>12703</v>
          </cell>
          <cell r="B2670" t="str">
            <v>*Marple Town Team</v>
          </cell>
        </row>
        <row r="2671">
          <cell r="A2671">
            <v>12704</v>
          </cell>
          <cell r="B2671" t="str">
            <v>*H &amp; S C Integration</v>
          </cell>
        </row>
        <row r="2672">
          <cell r="A2672">
            <v>12705</v>
          </cell>
          <cell r="B2672" t="str">
            <v>Social Funds - Prog</v>
          </cell>
        </row>
        <row r="2673">
          <cell r="A2673">
            <v>12706</v>
          </cell>
          <cell r="B2673" t="str">
            <v>Social Funds Admin</v>
          </cell>
        </row>
        <row r="2674">
          <cell r="A2674">
            <v>12707</v>
          </cell>
          <cell r="B2674" t="str">
            <v>Iraqi Programme</v>
          </cell>
        </row>
        <row r="2675">
          <cell r="A2675">
            <v>12708</v>
          </cell>
          <cell r="B2675" t="str">
            <v>Home/Hospital Educ</v>
          </cell>
        </row>
        <row r="2676">
          <cell r="A2676">
            <v>12709</v>
          </cell>
          <cell r="B2676" t="str">
            <v>Pendlebury Jigsaw</v>
          </cell>
        </row>
        <row r="2677">
          <cell r="A2677">
            <v>12710</v>
          </cell>
          <cell r="B2677" t="str">
            <v>SEN NMSS School Fees</v>
          </cell>
        </row>
        <row r="2678">
          <cell r="A2678">
            <v>12711</v>
          </cell>
          <cell r="B2678" t="str">
            <v>*Highfields Day 6</v>
          </cell>
        </row>
        <row r="2679">
          <cell r="A2679">
            <v>12712</v>
          </cell>
          <cell r="B2679" t="str">
            <v>*Reablement East</v>
          </cell>
        </row>
        <row r="2680">
          <cell r="A2680">
            <v>12713</v>
          </cell>
          <cell r="B2680" t="str">
            <v>*Reablement West</v>
          </cell>
        </row>
        <row r="2681">
          <cell r="A2681">
            <v>12714</v>
          </cell>
          <cell r="B2681" t="str">
            <v>TM REaCH</v>
          </cell>
        </row>
        <row r="2682">
          <cell r="A2682">
            <v>12715</v>
          </cell>
          <cell r="B2682" t="str">
            <v>AR Home Based HSW</v>
          </cell>
        </row>
        <row r="2683">
          <cell r="A2683">
            <v>12716</v>
          </cell>
          <cell r="B2683" t="str">
            <v>Reablement Night Sup</v>
          </cell>
        </row>
        <row r="2684">
          <cell r="A2684">
            <v>12717</v>
          </cell>
          <cell r="B2684" t="str">
            <v>Pupil Growth / ICS</v>
          </cell>
        </row>
        <row r="2685">
          <cell r="A2685">
            <v>12718</v>
          </cell>
          <cell r="B2685" t="str">
            <v>CLA Costs</v>
          </cell>
        </row>
        <row r="2686">
          <cell r="A2686">
            <v>12719</v>
          </cell>
          <cell r="B2686" t="str">
            <v>EFA Income</v>
          </cell>
        </row>
        <row r="2687">
          <cell r="A2687">
            <v>12720</v>
          </cell>
          <cell r="B2687" t="str">
            <v>2 Year Old Offer</v>
          </cell>
        </row>
        <row r="2688">
          <cell r="A2688">
            <v>12721</v>
          </cell>
          <cell r="B2688" t="str">
            <v>HNs Top-up Funding</v>
          </cell>
        </row>
        <row r="2689">
          <cell r="A2689">
            <v>12722</v>
          </cell>
          <cell r="B2689" t="str">
            <v>Top-up  Fund Special</v>
          </cell>
        </row>
        <row r="2690">
          <cell r="A2690">
            <v>12723</v>
          </cell>
          <cell r="B2690" t="str">
            <v>Top-up Funding RP</v>
          </cell>
        </row>
        <row r="2691">
          <cell r="A2691">
            <v>12724</v>
          </cell>
          <cell r="B2691" t="str">
            <v>Top-up Fund Post 16</v>
          </cell>
        </row>
        <row r="2692">
          <cell r="A2692">
            <v>12725</v>
          </cell>
          <cell r="B2692" t="str">
            <v>Special Schools Dede</v>
          </cell>
        </row>
        <row r="2693">
          <cell r="A2693">
            <v>12726</v>
          </cell>
          <cell r="B2693" t="str">
            <v>General Overheads</v>
          </cell>
        </row>
        <row r="2694">
          <cell r="A2694">
            <v>12727</v>
          </cell>
          <cell r="B2694" t="str">
            <v>Unallocated Savings</v>
          </cell>
        </row>
        <row r="2695">
          <cell r="A2695">
            <v>12728</v>
          </cell>
          <cell r="B2695" t="str">
            <v>MOSAIC - DSG</v>
          </cell>
        </row>
        <row r="2696">
          <cell r="A2696">
            <v>12729</v>
          </cell>
          <cell r="B2696" t="str">
            <v>Top-up Funding PRU</v>
          </cell>
        </row>
        <row r="2697">
          <cell r="A2697">
            <v>12730</v>
          </cell>
          <cell r="B2697" t="str">
            <v>*CSS Bus Sup</v>
          </cell>
        </row>
        <row r="2698">
          <cell r="A2698">
            <v>12731</v>
          </cell>
          <cell r="B2698" t="str">
            <v>PH-Drug &amp; Alcohol</v>
          </cell>
        </row>
        <row r="2699">
          <cell r="A2699">
            <v>12732</v>
          </cell>
          <cell r="B2699" t="str">
            <v>PH-Programme Mngmt</v>
          </cell>
        </row>
        <row r="2700">
          <cell r="A2700">
            <v>12733</v>
          </cell>
          <cell r="B2700" t="str">
            <v>*PH-Children &amp; YP</v>
          </cell>
        </row>
        <row r="2701">
          <cell r="A2701">
            <v>12734</v>
          </cell>
          <cell r="B2701" t="str">
            <v>PH-Mental Wellbeing</v>
          </cell>
        </row>
        <row r="2702">
          <cell r="A2702">
            <v>12735</v>
          </cell>
          <cell r="B2702" t="str">
            <v>PH-Healthcare</v>
          </cell>
        </row>
        <row r="2703">
          <cell r="A2703">
            <v>12736</v>
          </cell>
          <cell r="B2703" t="str">
            <v>PH-Sexual Health</v>
          </cell>
        </row>
        <row r="2704">
          <cell r="A2704">
            <v>12737</v>
          </cell>
          <cell r="B2704" t="str">
            <v>PH-Lifestyles</v>
          </cell>
        </row>
        <row r="2705">
          <cell r="A2705">
            <v>12738</v>
          </cell>
          <cell r="B2705" t="str">
            <v>PH-Communities</v>
          </cell>
        </row>
        <row r="2706">
          <cell r="A2706">
            <v>12739</v>
          </cell>
          <cell r="B2706" t="str">
            <v>PH-Health Protection</v>
          </cell>
        </row>
        <row r="2707">
          <cell r="A2707">
            <v>12740</v>
          </cell>
          <cell r="B2707" t="str">
            <v>PH-Intelligence</v>
          </cell>
        </row>
        <row r="2708">
          <cell r="A2708">
            <v>12741</v>
          </cell>
          <cell r="B2708" t="str">
            <v>RCCO</v>
          </cell>
        </row>
        <row r="2709">
          <cell r="A2709">
            <v>12742</v>
          </cell>
          <cell r="B2709" t="str">
            <v>ASD Service</v>
          </cell>
        </row>
        <row r="2710">
          <cell r="A2710">
            <v>12743</v>
          </cell>
          <cell r="B2710" t="str">
            <v>2YO Trajectory Fund</v>
          </cell>
        </row>
        <row r="2711">
          <cell r="A2711">
            <v>12744</v>
          </cell>
          <cell r="B2711" t="str">
            <v>Royal Mail, Marple</v>
          </cell>
        </row>
        <row r="2712">
          <cell r="A2712">
            <v>12745</v>
          </cell>
          <cell r="B2712" t="str">
            <v>PH-GUM Services</v>
          </cell>
        </row>
        <row r="2713">
          <cell r="A2713">
            <v>12746</v>
          </cell>
          <cell r="B2713" t="str">
            <v>*PH-HIV Services</v>
          </cell>
        </row>
        <row r="2714">
          <cell r="A2714">
            <v>12747</v>
          </cell>
          <cell r="B2714" t="str">
            <v>PH-Chlamydia Screen</v>
          </cell>
        </row>
        <row r="2715">
          <cell r="A2715">
            <v>12748</v>
          </cell>
          <cell r="B2715" t="str">
            <v>PH-Sexual Health LES</v>
          </cell>
        </row>
        <row r="2716">
          <cell r="A2716">
            <v>12749</v>
          </cell>
          <cell r="B2716" t="str">
            <v>Traffic Manager</v>
          </cell>
        </row>
        <row r="2717">
          <cell r="A2717">
            <v>12750</v>
          </cell>
          <cell r="B2717" t="str">
            <v>SMBC Development</v>
          </cell>
        </row>
        <row r="2718">
          <cell r="A2718">
            <v>12751</v>
          </cell>
          <cell r="B2718" t="str">
            <v>SBIC SECONDED STAFF</v>
          </cell>
        </row>
        <row r="2719">
          <cell r="A2719">
            <v>12752</v>
          </cell>
          <cell r="B2719" t="str">
            <v>ST MATTHEWS ACADEMY</v>
          </cell>
        </row>
        <row r="2720">
          <cell r="A2720">
            <v>12753</v>
          </cell>
          <cell r="B2720" t="str">
            <v>HoS Public Protectn</v>
          </cell>
        </row>
        <row r="2721">
          <cell r="A2721">
            <v>12754</v>
          </cell>
          <cell r="B2721" t="str">
            <v>Heys Court</v>
          </cell>
        </row>
        <row r="2722">
          <cell r="A2722">
            <v>12755</v>
          </cell>
          <cell r="B2722" t="str">
            <v>*AT Emergency Funds</v>
          </cell>
        </row>
        <row r="2723">
          <cell r="A2723">
            <v>12756</v>
          </cell>
          <cell r="B2723" t="str">
            <v>*Day Services Rechar</v>
          </cell>
        </row>
        <row r="2724">
          <cell r="A2724">
            <v>12757</v>
          </cell>
          <cell r="B2724" t="str">
            <v>*Rapid Response Team</v>
          </cell>
        </row>
        <row r="2725">
          <cell r="A2725">
            <v>12758</v>
          </cell>
          <cell r="B2725" t="str">
            <v>*Default Works-Comme</v>
          </cell>
        </row>
        <row r="2726">
          <cell r="A2726">
            <v>12759</v>
          </cell>
          <cell r="B2726" t="str">
            <v>SEN Reform</v>
          </cell>
        </row>
        <row r="2727">
          <cell r="A2727">
            <v>12760</v>
          </cell>
          <cell r="B2727" t="str">
            <v>*CROSS ICTPSP</v>
          </cell>
        </row>
        <row r="2728">
          <cell r="A2728">
            <v>12761</v>
          </cell>
          <cell r="B2728" t="str">
            <v>*CLIPS ICT PSP</v>
          </cell>
        </row>
        <row r="2729">
          <cell r="A2729">
            <v>12762</v>
          </cell>
          <cell r="B2729" t="str">
            <v>*Project Silver FP7</v>
          </cell>
        </row>
        <row r="2730">
          <cell r="A2730">
            <v>12763</v>
          </cell>
          <cell r="B2730" t="str">
            <v>*EldersUp AAL</v>
          </cell>
        </row>
        <row r="2731">
          <cell r="A2731">
            <v>12764</v>
          </cell>
          <cell r="B2731" t="str">
            <v>*JamToday ICT PSP</v>
          </cell>
        </row>
        <row r="2732">
          <cell r="A2732">
            <v>12765</v>
          </cell>
          <cell r="B2732" t="str">
            <v>*PPH Team</v>
          </cell>
        </row>
        <row r="2733">
          <cell r="A2733">
            <v>12766</v>
          </cell>
          <cell r="B2733" t="str">
            <v>Step Out Service</v>
          </cell>
        </row>
        <row r="2734">
          <cell r="A2734">
            <v>12767</v>
          </cell>
          <cell r="B2734" t="str">
            <v>Stkp Strat Prop Pshp</v>
          </cell>
        </row>
        <row r="2735">
          <cell r="A2735">
            <v>12768</v>
          </cell>
          <cell r="B2735" t="str">
            <v>Rural Broadband</v>
          </cell>
        </row>
        <row r="2736">
          <cell r="A2736">
            <v>12769</v>
          </cell>
          <cell r="B2736" t="str">
            <v>School Nursing</v>
          </cell>
        </row>
        <row r="2737">
          <cell r="A2737">
            <v>12770</v>
          </cell>
          <cell r="B2737" t="str">
            <v>Central Reserve ICS</v>
          </cell>
        </row>
        <row r="2738">
          <cell r="A2738">
            <v>12771</v>
          </cell>
          <cell r="B2738" t="str">
            <v>*CSS Rdsg Supernumar</v>
          </cell>
        </row>
        <row r="2739">
          <cell r="A2739">
            <v>12772</v>
          </cell>
          <cell r="B2739" t="str">
            <v>*CSS Rdsg Unallocate</v>
          </cell>
        </row>
        <row r="2740">
          <cell r="A2740">
            <v>12773</v>
          </cell>
          <cell r="B2740" t="str">
            <v>UKAR IE</v>
          </cell>
        </row>
        <row r="2741">
          <cell r="A2741">
            <v>12774</v>
          </cell>
          <cell r="B2741" t="str">
            <v>Asian Heritage Staff</v>
          </cell>
        </row>
        <row r="2742">
          <cell r="A2742">
            <v>12775</v>
          </cell>
          <cell r="B2742" t="str">
            <v>Employment Initiativ</v>
          </cell>
        </row>
        <row r="2743">
          <cell r="A2743">
            <v>12776</v>
          </cell>
          <cell r="B2743" t="str">
            <v>*T.O. Ph1 Home Focus</v>
          </cell>
        </row>
        <row r="2744">
          <cell r="A2744">
            <v>12777</v>
          </cell>
          <cell r="B2744" t="str">
            <v>VST - PPG</v>
          </cell>
        </row>
        <row r="2745">
          <cell r="A2745">
            <v>12778</v>
          </cell>
          <cell r="B2745" t="str">
            <v>*LDRC Transport</v>
          </cell>
        </row>
        <row r="2746">
          <cell r="A2746">
            <v>12779</v>
          </cell>
          <cell r="B2746" t="str">
            <v>HURSTHEAD JNR ACADEM</v>
          </cell>
        </row>
        <row r="2747">
          <cell r="A2747">
            <v>12780</v>
          </cell>
          <cell r="B2747" t="str">
            <v>*HOBS Safeguarding</v>
          </cell>
        </row>
        <row r="2748">
          <cell r="A2748">
            <v>12781</v>
          </cell>
          <cell r="B2748" t="str">
            <v>*Dols Funded</v>
          </cell>
        </row>
        <row r="2749">
          <cell r="A2749">
            <v>12782</v>
          </cell>
          <cell r="B2749" t="str">
            <v>*Innovation Fund</v>
          </cell>
        </row>
        <row r="2750">
          <cell r="A2750">
            <v>12783</v>
          </cell>
          <cell r="B2750" t="str">
            <v>*ASC Pooled</v>
          </cell>
        </row>
        <row r="2751">
          <cell r="A2751">
            <v>12784</v>
          </cell>
          <cell r="B2751" t="str">
            <v>*IIS</v>
          </cell>
        </row>
        <row r="2752">
          <cell r="A2752">
            <v>12785</v>
          </cell>
          <cell r="B2752" t="str">
            <v>Community Bldgs SHL</v>
          </cell>
        </row>
        <row r="2753">
          <cell r="A2753">
            <v>12786</v>
          </cell>
          <cell r="B2753" t="str">
            <v>*Smithy Croft</v>
          </cell>
        </row>
        <row r="2754">
          <cell r="A2754">
            <v>12787</v>
          </cell>
          <cell r="B2754" t="str">
            <v>PH-Older People</v>
          </cell>
        </row>
        <row r="2755">
          <cell r="A2755">
            <v>12788</v>
          </cell>
          <cell r="B2755" t="str">
            <v>Women and Broadband</v>
          </cell>
        </row>
        <row r="2756">
          <cell r="A2756">
            <v>12789</v>
          </cell>
          <cell r="B2756" t="str">
            <v>*T.O. Ph2 Choice Sup</v>
          </cell>
        </row>
        <row r="2757">
          <cell r="A2757">
            <v>12790</v>
          </cell>
          <cell r="B2757" t="str">
            <v>Enhanced Support Tea</v>
          </cell>
        </row>
        <row r="2758">
          <cell r="A2758">
            <v>12791</v>
          </cell>
          <cell r="B2758" t="str">
            <v>Out of Hours Team</v>
          </cell>
        </row>
        <row r="2759">
          <cell r="A2759">
            <v>12792</v>
          </cell>
          <cell r="B2759" t="str">
            <v>GATLEY ACADEMY</v>
          </cell>
        </row>
        <row r="2760">
          <cell r="A2760">
            <v>12793</v>
          </cell>
          <cell r="B2760" t="str">
            <v>VM- Baker Street</v>
          </cell>
        </row>
        <row r="2761">
          <cell r="A2761">
            <v>12794</v>
          </cell>
          <cell r="B2761" t="str">
            <v>VM- Brinnington CC</v>
          </cell>
        </row>
        <row r="2762">
          <cell r="A2762">
            <v>12795</v>
          </cell>
          <cell r="B2762" t="str">
            <v>VM- Adswood YPC</v>
          </cell>
        </row>
        <row r="2763">
          <cell r="A2763">
            <v>12796</v>
          </cell>
          <cell r="B2763" t="str">
            <v>VM- Woodbank YPC</v>
          </cell>
        </row>
        <row r="2764">
          <cell r="A2764">
            <v>12797</v>
          </cell>
          <cell r="B2764" t="str">
            <v>VM- Werneth YPC</v>
          </cell>
        </row>
        <row r="2765">
          <cell r="A2765">
            <v>12798</v>
          </cell>
          <cell r="B2765" t="str">
            <v>VM- Reddish YPC</v>
          </cell>
        </row>
        <row r="2766">
          <cell r="A2766">
            <v>12799</v>
          </cell>
          <cell r="B2766" t="str">
            <v>Business Support CYP</v>
          </cell>
        </row>
        <row r="2767">
          <cell r="A2767">
            <v>12800</v>
          </cell>
          <cell r="B2767" t="str">
            <v>Policy, Performance</v>
          </cell>
        </row>
        <row r="2768">
          <cell r="A2768">
            <v>12801</v>
          </cell>
          <cell r="B2768" t="str">
            <v>Place Marketing Camp</v>
          </cell>
        </row>
        <row r="2769">
          <cell r="A2769">
            <v>12802</v>
          </cell>
          <cell r="B2769" t="str">
            <v>*Health Inequalities</v>
          </cell>
        </row>
        <row r="2770">
          <cell r="A2770">
            <v>12803</v>
          </cell>
          <cell r="B2770" t="str">
            <v>*ST - Communities</v>
          </cell>
        </row>
        <row r="2771">
          <cell r="A2771">
            <v>12804</v>
          </cell>
          <cell r="B2771" t="str">
            <v>*Adswood &amp; Bridgehal</v>
          </cell>
        </row>
        <row r="2772">
          <cell r="A2772">
            <v>12805</v>
          </cell>
          <cell r="B2772" t="str">
            <v>*Brinnington (HI)</v>
          </cell>
        </row>
        <row r="2773">
          <cell r="A2773">
            <v>12806</v>
          </cell>
          <cell r="B2773" t="str">
            <v>Crisis Response Team</v>
          </cell>
        </row>
        <row r="2774">
          <cell r="A2774">
            <v>12807</v>
          </cell>
          <cell r="B2774" t="str">
            <v>*Remaining P2 ar (HI</v>
          </cell>
        </row>
        <row r="2775">
          <cell r="A2775">
            <v>12808</v>
          </cell>
          <cell r="B2775" t="str">
            <v>*Helping People Home</v>
          </cell>
        </row>
        <row r="2776">
          <cell r="A2776">
            <v>12809</v>
          </cell>
          <cell r="B2776" t="str">
            <v>T.O.Ph3 Creative Sup</v>
          </cell>
        </row>
        <row r="2777">
          <cell r="A2777">
            <v>12810</v>
          </cell>
          <cell r="B2777" t="str">
            <v>Highways Inv Pro HIP</v>
          </cell>
        </row>
        <row r="2778">
          <cell r="A2778">
            <v>12811</v>
          </cell>
          <cell r="B2778" t="str">
            <v>Autism Team</v>
          </cell>
        </row>
        <row r="2779">
          <cell r="A2779">
            <v>12812</v>
          </cell>
          <cell r="B2779" t="str">
            <v>Comm. Health - BCF</v>
          </cell>
        </row>
        <row r="2780">
          <cell r="A2780">
            <v>12813</v>
          </cell>
          <cell r="B2780" t="str">
            <v>Social Care - BCF</v>
          </cell>
        </row>
        <row r="2781">
          <cell r="A2781">
            <v>12814</v>
          </cell>
          <cell r="B2781" t="str">
            <v>Primary Care - BCF</v>
          </cell>
        </row>
        <row r="2782">
          <cell r="A2782">
            <v>12815</v>
          </cell>
          <cell r="B2782" t="str">
            <v>BCF - Income</v>
          </cell>
        </row>
        <row r="2783">
          <cell r="A2783">
            <v>12816</v>
          </cell>
          <cell r="B2783" t="str">
            <v>*Carers</v>
          </cell>
        </row>
        <row r="2784">
          <cell r="A2784">
            <v>12817</v>
          </cell>
          <cell r="B2784" t="str">
            <v>*Social Care - Poole</v>
          </cell>
        </row>
        <row r="2785">
          <cell r="A2785">
            <v>12818</v>
          </cell>
          <cell r="B2785" t="str">
            <v>*Backlog Highways 3</v>
          </cell>
        </row>
        <row r="2786">
          <cell r="A2786">
            <v>12819</v>
          </cell>
          <cell r="B2786" t="str">
            <v>*Mario Horizon 2020</v>
          </cell>
        </row>
        <row r="2787">
          <cell r="A2787">
            <v>12820</v>
          </cell>
          <cell r="B2787" t="str">
            <v>Garages &amp; Shops IE</v>
          </cell>
        </row>
        <row r="2788">
          <cell r="A2788">
            <v>12821</v>
          </cell>
          <cell r="B2788" t="str">
            <v>Arboricult Contr SSK</v>
          </cell>
        </row>
        <row r="2789">
          <cell r="A2789">
            <v>12822</v>
          </cell>
          <cell r="B2789" t="str">
            <v>CCTV-Control</v>
          </cell>
        </row>
        <row r="2790">
          <cell r="A2790">
            <v>12823</v>
          </cell>
          <cell r="B2790" t="str">
            <v>Patrol</v>
          </cell>
        </row>
        <row r="2791">
          <cell r="A2791">
            <v>12824</v>
          </cell>
          <cell r="B2791" t="str">
            <v>*Monitor Plan</v>
          </cell>
        </row>
        <row r="2792">
          <cell r="A2792">
            <v>12825</v>
          </cell>
          <cell r="B2792" t="str">
            <v>SA Board</v>
          </cell>
        </row>
        <row r="2793">
          <cell r="A2793">
            <v>12826</v>
          </cell>
          <cell r="B2793" t="str">
            <v>Stockport Rd Apts</v>
          </cell>
        </row>
        <row r="2794">
          <cell r="A2794">
            <v>12827</v>
          </cell>
          <cell r="B2794" t="str">
            <v>EY Pupil Premium</v>
          </cell>
        </row>
        <row r="2795">
          <cell r="A2795">
            <v>12828</v>
          </cell>
          <cell r="B2795" t="str">
            <v>OAK TREE PRIMARY</v>
          </cell>
        </row>
        <row r="2796">
          <cell r="A2796">
            <v>12829</v>
          </cell>
          <cell r="B2796" t="str">
            <v>Proactive Care</v>
          </cell>
        </row>
        <row r="2797">
          <cell r="A2797">
            <v>12830</v>
          </cell>
          <cell r="B2797" t="str">
            <v>*Dev Mgmt Structure</v>
          </cell>
        </row>
        <row r="2798">
          <cell r="A2798">
            <v>12831</v>
          </cell>
          <cell r="B2798" t="str">
            <v>*Locality Team Work</v>
          </cell>
        </row>
        <row r="2799">
          <cell r="A2799">
            <v>12832</v>
          </cell>
          <cell r="B2799" t="str">
            <v>*Enhanced Support Te</v>
          </cell>
        </row>
        <row r="2800">
          <cell r="A2800">
            <v>12833</v>
          </cell>
          <cell r="B2800" t="str">
            <v>PH-Health Promise</v>
          </cell>
        </row>
        <row r="2801">
          <cell r="A2801">
            <v>12834</v>
          </cell>
          <cell r="B2801" t="str">
            <v>PH-Physical Activity</v>
          </cell>
        </row>
        <row r="2802">
          <cell r="A2802">
            <v>12835</v>
          </cell>
          <cell r="B2802" t="str">
            <v>*Carers PBs (OP/PD)</v>
          </cell>
        </row>
        <row r="2803">
          <cell r="A2803">
            <v>12836</v>
          </cell>
          <cell r="B2803" t="str">
            <v>*Carers PBs LD</v>
          </cell>
        </row>
        <row r="2804">
          <cell r="A2804">
            <v>12837</v>
          </cell>
          <cell r="B2804" t="str">
            <v>*Carers PBs MH</v>
          </cell>
        </row>
        <row r="2805">
          <cell r="A2805">
            <v>12838</v>
          </cell>
          <cell r="B2805" t="str">
            <v>*CHC Assessment Beds</v>
          </cell>
        </row>
        <row r="2806">
          <cell r="A2806">
            <v>12839</v>
          </cell>
          <cell r="B2806" t="str">
            <v>*Proactive Care-Enab</v>
          </cell>
        </row>
        <row r="2807">
          <cell r="A2807">
            <v>12840</v>
          </cell>
          <cell r="B2807" t="str">
            <v>*Integration-Design</v>
          </cell>
        </row>
        <row r="2808">
          <cell r="A2808">
            <v>12841</v>
          </cell>
          <cell r="B2808" t="str">
            <v>Care Act BCF</v>
          </cell>
        </row>
        <row r="2809">
          <cell r="A2809">
            <v>12842</v>
          </cell>
          <cell r="B2809" t="str">
            <v>S 38 Monies</v>
          </cell>
        </row>
        <row r="2810">
          <cell r="A2810">
            <v>12843</v>
          </cell>
          <cell r="B2810" t="str">
            <v>S 278 Monies</v>
          </cell>
        </row>
        <row r="2811">
          <cell r="A2811">
            <v>12844</v>
          </cell>
          <cell r="B2811" t="str">
            <v>*Court of Protection</v>
          </cell>
        </row>
        <row r="2812">
          <cell r="A2812">
            <v>12845</v>
          </cell>
          <cell r="B2812" t="str">
            <v>Minor works/TRO Moni</v>
          </cell>
        </row>
        <row r="2813">
          <cell r="A2813">
            <v>12846</v>
          </cell>
          <cell r="B2813" t="str">
            <v>*Locality Enabling</v>
          </cell>
        </row>
        <row r="2814">
          <cell r="A2814">
            <v>12847</v>
          </cell>
          <cell r="B2814" t="str">
            <v>*W Pressures SRG</v>
          </cell>
        </row>
        <row r="2815">
          <cell r="A2815">
            <v>12848</v>
          </cell>
          <cell r="B2815" t="str">
            <v>S 106 Monies</v>
          </cell>
        </row>
        <row r="2816">
          <cell r="A2816">
            <v>12849</v>
          </cell>
          <cell r="B2816" t="str">
            <v>*ILF Replacement Pym</v>
          </cell>
        </row>
        <row r="2817">
          <cell r="A2817">
            <v>12850</v>
          </cell>
          <cell r="B2817" t="str">
            <v>T.O.Ph4 Utd Response</v>
          </cell>
        </row>
        <row r="2818">
          <cell r="A2818">
            <v>12851</v>
          </cell>
          <cell r="B2818" t="str">
            <v>Refugee prog Afghan</v>
          </cell>
        </row>
        <row r="2819">
          <cell r="A2819">
            <v>12852</v>
          </cell>
          <cell r="B2819" t="str">
            <v>Domestic Abuse</v>
          </cell>
        </row>
        <row r="2820">
          <cell r="A2820">
            <v>12853</v>
          </cell>
          <cell r="B2820" t="str">
            <v>Advocacy</v>
          </cell>
        </row>
        <row r="2821">
          <cell r="A2821">
            <v>12854</v>
          </cell>
          <cell r="B2821" t="str">
            <v>Targeted Prevention</v>
          </cell>
        </row>
        <row r="2822">
          <cell r="A2822">
            <v>12855</v>
          </cell>
          <cell r="B2822" t="str">
            <v>WIN Contracts (X3)</v>
          </cell>
        </row>
        <row r="2823">
          <cell r="A2823">
            <v>12856</v>
          </cell>
          <cell r="B2823" t="str">
            <v>*Supp. at Home (WIN)</v>
          </cell>
        </row>
        <row r="2824">
          <cell r="A2824">
            <v>12857</v>
          </cell>
          <cell r="B2824" t="str">
            <v>*Social Support (WIN</v>
          </cell>
        </row>
        <row r="2825">
          <cell r="A2825">
            <v>12858</v>
          </cell>
          <cell r="B2825" t="str">
            <v>*Comm. Capacity (WIN</v>
          </cell>
        </row>
        <row r="2826">
          <cell r="A2826">
            <v>12859</v>
          </cell>
          <cell r="B2826" t="str">
            <v>Aurora IE</v>
          </cell>
        </row>
        <row r="2827">
          <cell r="A2827">
            <v>12860</v>
          </cell>
          <cell r="B2827" t="str">
            <v>*Prevention-Interim</v>
          </cell>
        </row>
        <row r="2828">
          <cell r="A2828">
            <v>12861</v>
          </cell>
          <cell r="B2828" t="str">
            <v>T.O.Ph5 Home Focus</v>
          </cell>
        </row>
        <row r="2829">
          <cell r="A2829">
            <v>12862</v>
          </cell>
          <cell r="B2829" t="str">
            <v>King St. West CP</v>
          </cell>
        </row>
        <row r="2830">
          <cell r="A2830">
            <v>12863</v>
          </cell>
          <cell r="B2830" t="str">
            <v>StockExc P2 - Office</v>
          </cell>
        </row>
        <row r="2831">
          <cell r="A2831">
            <v>12864</v>
          </cell>
          <cell r="B2831" t="str">
            <v>StockExc P2 - Hotel</v>
          </cell>
        </row>
        <row r="2832">
          <cell r="A2832">
            <v>12865</v>
          </cell>
          <cell r="B2832" t="str">
            <v>District Five ATMs</v>
          </cell>
        </row>
        <row r="2833">
          <cell r="A2833">
            <v>12866</v>
          </cell>
          <cell r="B2833" t="str">
            <v>Merseyway Shop Ctre</v>
          </cell>
        </row>
        <row r="2834">
          <cell r="A2834">
            <v>12867</v>
          </cell>
          <cell r="B2834" t="str">
            <v>Edgeley Pk Stadium I</v>
          </cell>
        </row>
        <row r="2835">
          <cell r="A2835">
            <v>12868</v>
          </cell>
          <cell r="B2835" t="str">
            <v>Bridgefield St. CP</v>
          </cell>
        </row>
        <row r="2836">
          <cell r="A2836">
            <v>12869</v>
          </cell>
          <cell r="B2836" t="str">
            <v>Redrock MSCP</v>
          </cell>
        </row>
        <row r="2837">
          <cell r="A2837">
            <v>12870</v>
          </cell>
          <cell r="B2837" t="str">
            <v>FP - RAA Funds</v>
          </cell>
        </row>
        <row r="2838">
          <cell r="A2838">
            <v>12871</v>
          </cell>
          <cell r="B2838" t="str">
            <v>The Kingsway School</v>
          </cell>
        </row>
        <row r="2839">
          <cell r="A2839">
            <v>12872</v>
          </cell>
          <cell r="B2839" t="str">
            <v>Mangt Accounting</v>
          </cell>
        </row>
        <row r="2840">
          <cell r="A2840">
            <v>12873</v>
          </cell>
          <cell r="B2840" t="str">
            <v>Financial Accountanc</v>
          </cell>
        </row>
        <row r="2841">
          <cell r="A2841">
            <v>12874</v>
          </cell>
          <cell r="B2841" t="str">
            <v>Audit &amp; Risk</v>
          </cell>
        </row>
        <row r="2842">
          <cell r="A2842">
            <v>12875</v>
          </cell>
          <cell r="B2842" t="str">
            <v>*HTV Service Lead</v>
          </cell>
        </row>
        <row r="2843">
          <cell r="A2843">
            <v>12876</v>
          </cell>
          <cell r="B2843" t="str">
            <v>HTV SFW School Aged</v>
          </cell>
        </row>
        <row r="2844">
          <cell r="A2844">
            <v>12877</v>
          </cell>
          <cell r="B2844" t="str">
            <v>Start Well Managemnt</v>
          </cell>
        </row>
        <row r="2845">
          <cell r="A2845">
            <v>12878</v>
          </cell>
          <cell r="B2845" t="str">
            <v>HTV YP Educ, Career,</v>
          </cell>
        </row>
        <row r="2846">
          <cell r="A2846">
            <v>12879</v>
          </cell>
          <cell r="B2846" t="str">
            <v>SHV SFW School Aged</v>
          </cell>
        </row>
        <row r="2847">
          <cell r="A2847">
            <v>12880</v>
          </cell>
          <cell r="B2847" t="str">
            <v>Start Well Ops Staff</v>
          </cell>
        </row>
        <row r="2848">
          <cell r="A2848">
            <v>12881</v>
          </cell>
          <cell r="B2848" t="str">
            <v>Start Well Runn Cost</v>
          </cell>
        </row>
        <row r="2849">
          <cell r="A2849">
            <v>12882</v>
          </cell>
          <cell r="B2849" t="str">
            <v>CB/MW SFW School Age</v>
          </cell>
        </row>
        <row r="2850">
          <cell r="A2850">
            <v>12883</v>
          </cell>
          <cell r="B2850" t="str">
            <v>*CB/MW SFW Early Yea</v>
          </cell>
        </row>
        <row r="2851">
          <cell r="A2851">
            <v>12884</v>
          </cell>
          <cell r="B2851" t="str">
            <v>INT M Purchasing</v>
          </cell>
        </row>
        <row r="2852">
          <cell r="A2852">
            <v>12885</v>
          </cell>
          <cell r="B2852" t="str">
            <v>INT W Purchasing</v>
          </cell>
        </row>
        <row r="2853">
          <cell r="A2853">
            <v>12886</v>
          </cell>
          <cell r="B2853" t="str">
            <v>INT SH Purchasing</v>
          </cell>
        </row>
        <row r="2854">
          <cell r="A2854">
            <v>12887</v>
          </cell>
          <cell r="B2854" t="str">
            <v>INT VI Purchasing</v>
          </cell>
        </row>
        <row r="2855">
          <cell r="A2855">
            <v>12888</v>
          </cell>
          <cell r="B2855" t="str">
            <v>INT C Purchasing</v>
          </cell>
        </row>
        <row r="2856">
          <cell r="A2856">
            <v>12889</v>
          </cell>
          <cell r="B2856" t="str">
            <v>INT B Purchasing</v>
          </cell>
        </row>
        <row r="2857">
          <cell r="A2857">
            <v>12890</v>
          </cell>
          <cell r="B2857" t="str">
            <v>INT H Purchasing</v>
          </cell>
        </row>
        <row r="2858">
          <cell r="A2858">
            <v>12891</v>
          </cell>
          <cell r="B2858" t="str">
            <v>INT TV Purchasing</v>
          </cell>
        </row>
        <row r="2859">
          <cell r="A2859">
            <v>12892</v>
          </cell>
          <cell r="B2859" t="str">
            <v>INT M Staffing</v>
          </cell>
        </row>
        <row r="2860">
          <cell r="A2860">
            <v>12893</v>
          </cell>
          <cell r="B2860" t="str">
            <v>INT W Staffing</v>
          </cell>
        </row>
        <row r="2861">
          <cell r="A2861">
            <v>12894</v>
          </cell>
          <cell r="B2861" t="str">
            <v>INT SH Staffing</v>
          </cell>
        </row>
        <row r="2862">
          <cell r="A2862">
            <v>12895</v>
          </cell>
          <cell r="B2862" t="str">
            <v>INT VI Staffing</v>
          </cell>
        </row>
        <row r="2863">
          <cell r="A2863">
            <v>12896</v>
          </cell>
          <cell r="B2863" t="str">
            <v>INT C Staffing</v>
          </cell>
        </row>
        <row r="2864">
          <cell r="A2864">
            <v>12897</v>
          </cell>
          <cell r="B2864" t="str">
            <v>INT B Staffing</v>
          </cell>
        </row>
        <row r="2865">
          <cell r="A2865">
            <v>12898</v>
          </cell>
          <cell r="B2865" t="str">
            <v>INT H Staffing</v>
          </cell>
        </row>
        <row r="2866">
          <cell r="A2866">
            <v>12899</v>
          </cell>
          <cell r="B2866" t="str">
            <v>INT TV Staffing</v>
          </cell>
        </row>
        <row r="2867">
          <cell r="A2867">
            <v>12900</v>
          </cell>
          <cell r="B2867" t="str">
            <v>Neighbourhood Inclus</v>
          </cell>
        </row>
        <row r="2868">
          <cell r="A2868">
            <v>12901</v>
          </cell>
          <cell r="B2868" t="str">
            <v>T.O. Ph6 Fitzroy Sup</v>
          </cell>
        </row>
        <row r="2869">
          <cell r="A2869">
            <v>12902</v>
          </cell>
          <cell r="B2869" t="str">
            <v>*Markets Consultatio</v>
          </cell>
        </row>
        <row r="2870">
          <cell r="A2870">
            <v>12903</v>
          </cell>
          <cell r="B2870" t="str">
            <v>Early Implementer EY</v>
          </cell>
        </row>
        <row r="2871">
          <cell r="A2871">
            <v>12904</v>
          </cell>
          <cell r="B2871" t="str">
            <v>Acute - BCF</v>
          </cell>
        </row>
        <row r="2872">
          <cell r="A2872">
            <v>12905</v>
          </cell>
          <cell r="B2872" t="str">
            <v>Continuing Care -BCF</v>
          </cell>
        </row>
        <row r="2873">
          <cell r="A2873">
            <v>12906</v>
          </cell>
          <cell r="B2873" t="str">
            <v>Mental Health - BCF</v>
          </cell>
        </row>
        <row r="2874">
          <cell r="A2874">
            <v>12907</v>
          </cell>
          <cell r="B2874" t="str">
            <v>Other - BCF</v>
          </cell>
        </row>
        <row r="2875">
          <cell r="A2875">
            <v>12908</v>
          </cell>
          <cell r="B2875" t="str">
            <v>Reach M Staffing</v>
          </cell>
        </row>
        <row r="2876">
          <cell r="A2876">
            <v>12909</v>
          </cell>
          <cell r="B2876" t="str">
            <v>Reach W Staffing</v>
          </cell>
        </row>
        <row r="2877">
          <cell r="A2877">
            <v>12910</v>
          </cell>
          <cell r="B2877" t="str">
            <v>Reach SH Staffing</v>
          </cell>
        </row>
        <row r="2878">
          <cell r="A2878">
            <v>12911</v>
          </cell>
          <cell r="B2878" t="str">
            <v>Reach VI Staffing</v>
          </cell>
        </row>
        <row r="2879">
          <cell r="A2879">
            <v>12912</v>
          </cell>
          <cell r="B2879" t="str">
            <v>Reach C Staffing</v>
          </cell>
        </row>
        <row r="2880">
          <cell r="A2880">
            <v>12913</v>
          </cell>
          <cell r="B2880" t="str">
            <v>Reach B Staffing</v>
          </cell>
        </row>
        <row r="2881">
          <cell r="A2881">
            <v>12914</v>
          </cell>
          <cell r="B2881" t="str">
            <v>Reach H Staffing</v>
          </cell>
        </row>
        <row r="2882">
          <cell r="A2882">
            <v>12915</v>
          </cell>
          <cell r="B2882" t="str">
            <v>Reach TV Staffing</v>
          </cell>
        </row>
        <row r="2883">
          <cell r="A2883">
            <v>12916</v>
          </cell>
          <cell r="B2883" t="str">
            <v>*HTV Children's Cntr</v>
          </cell>
        </row>
        <row r="2884">
          <cell r="A2884">
            <v>12917</v>
          </cell>
          <cell r="B2884" t="str">
            <v>HTV GM ESF</v>
          </cell>
        </row>
        <row r="2885">
          <cell r="A2885">
            <v>12918</v>
          </cell>
          <cell r="B2885" t="str">
            <v>*SHV Children's Cntr</v>
          </cell>
        </row>
        <row r="2886">
          <cell r="A2886">
            <v>12919</v>
          </cell>
          <cell r="B2886" t="str">
            <v>*CB/MW Children's Ct</v>
          </cell>
        </row>
        <row r="2887">
          <cell r="A2887">
            <v>12920</v>
          </cell>
          <cell r="B2887" t="str">
            <v>T.O.Ph7 Mencap</v>
          </cell>
        </row>
        <row r="2888">
          <cell r="A2888">
            <v>12921</v>
          </cell>
          <cell r="B2888" t="str">
            <v>*General Children Ce</v>
          </cell>
        </row>
        <row r="2889">
          <cell r="A2889">
            <v>12922</v>
          </cell>
          <cell r="B2889" t="str">
            <v>Peer Mentor Scheme</v>
          </cell>
        </row>
        <row r="2890">
          <cell r="A2890">
            <v>12923</v>
          </cell>
          <cell r="B2890" t="str">
            <v>Senior Management</v>
          </cell>
        </row>
        <row r="2891">
          <cell r="A2891">
            <v>12924</v>
          </cell>
          <cell r="B2891" t="str">
            <v>T.O. Ph8 Mencap</v>
          </cell>
        </row>
        <row r="2892">
          <cell r="A2892">
            <v>12925</v>
          </cell>
          <cell r="B2892" t="str">
            <v>*Silver Lrnrs Erasmu</v>
          </cell>
        </row>
        <row r="2893">
          <cell r="A2893">
            <v>12926</v>
          </cell>
          <cell r="B2893" t="str">
            <v>COVID-19</v>
          </cell>
        </row>
        <row r="2894">
          <cell r="A2894">
            <v>12927</v>
          </cell>
          <cell r="B2894" t="str">
            <v>Wntr Pressures</v>
          </cell>
        </row>
        <row r="2895">
          <cell r="A2895">
            <v>12928</v>
          </cell>
          <cell r="B2895" t="str">
            <v>Markets &amp; Underbanks</v>
          </cell>
        </row>
        <row r="2896">
          <cell r="A2896">
            <v>12929</v>
          </cell>
          <cell r="B2896" t="str">
            <v>SNC</v>
          </cell>
        </row>
        <row r="2897">
          <cell r="A2897">
            <v>12930</v>
          </cell>
          <cell r="B2897" t="str">
            <v>Infection Control T</v>
          </cell>
        </row>
        <row r="2898">
          <cell r="A2898">
            <v>12931</v>
          </cell>
          <cell r="B2898" t="str">
            <v>Infection Control</v>
          </cell>
        </row>
        <row r="2899">
          <cell r="A2899">
            <v>12932</v>
          </cell>
          <cell r="B2899" t="str">
            <v>Occupancy</v>
          </cell>
        </row>
        <row r="2900">
          <cell r="A2900">
            <v>12933</v>
          </cell>
          <cell r="B2900" t="str">
            <v>*GMCA Land &amp; Propert</v>
          </cell>
        </row>
        <row r="2901">
          <cell r="A2901">
            <v>12934</v>
          </cell>
          <cell r="B2901" t="str">
            <v>GM Youth Emp</v>
          </cell>
        </row>
        <row r="2902">
          <cell r="A2902">
            <v>12935</v>
          </cell>
          <cell r="B2902" t="str">
            <v>Winter Pressures</v>
          </cell>
        </row>
        <row r="2903">
          <cell r="A2903">
            <v>12936</v>
          </cell>
          <cell r="B2903" t="str">
            <v>Local Plan Project</v>
          </cell>
        </row>
        <row r="2904">
          <cell r="A2904">
            <v>12937</v>
          </cell>
          <cell r="B2904" t="str">
            <v>T.O. Ph9 Creative Su</v>
          </cell>
        </row>
        <row r="2905">
          <cell r="A2905">
            <v>12938</v>
          </cell>
          <cell r="B2905" t="str">
            <v>Heritage Underbanks</v>
          </cell>
        </row>
        <row r="2906">
          <cell r="A2906">
            <v>12939</v>
          </cell>
          <cell r="B2906" t="str">
            <v>Merseyway Developmen</v>
          </cell>
        </row>
        <row r="2907">
          <cell r="A2907">
            <v>12940</v>
          </cell>
          <cell r="B2907" t="str">
            <v>Planning Enforcement</v>
          </cell>
        </row>
        <row r="2908">
          <cell r="A2908">
            <v>12941</v>
          </cell>
          <cell r="B2908" t="str">
            <v>First Response Team</v>
          </cell>
        </row>
        <row r="2909">
          <cell r="A2909">
            <v>12942</v>
          </cell>
          <cell r="B2909" t="str">
            <v>Early Years SEN</v>
          </cell>
        </row>
        <row r="2910">
          <cell r="A2910">
            <v>12943</v>
          </cell>
          <cell r="B2910" t="str">
            <v>Early Years 30hr 3&amp;4</v>
          </cell>
        </row>
        <row r="2911">
          <cell r="A2911">
            <v>12944</v>
          </cell>
          <cell r="B2911" t="str">
            <v>ESG transfer to DSG</v>
          </cell>
        </row>
        <row r="2912">
          <cell r="A2912">
            <v>12945</v>
          </cell>
          <cell r="B2912" t="str">
            <v>New Post 16 Monies</v>
          </cell>
        </row>
        <row r="2913">
          <cell r="A2913">
            <v>12946</v>
          </cell>
          <cell r="B2913" t="str">
            <v>DCLG Grant Funding</v>
          </cell>
        </row>
        <row r="2914">
          <cell r="A2914">
            <v>12947</v>
          </cell>
          <cell r="B2914" t="str">
            <v>TLN Grant Funding</v>
          </cell>
        </row>
        <row r="2915">
          <cell r="A2915">
            <v>12948</v>
          </cell>
          <cell r="B2915" t="str">
            <v>Vernon House Events</v>
          </cell>
        </row>
        <row r="2916">
          <cell r="A2916">
            <v>12949</v>
          </cell>
          <cell r="B2916" t="str">
            <v>Bramall Hall Events</v>
          </cell>
        </row>
        <row r="2917">
          <cell r="A2917">
            <v>12950</v>
          </cell>
          <cell r="B2917" t="str">
            <v>Closed Church Yards</v>
          </cell>
        </row>
        <row r="2918">
          <cell r="A2918">
            <v>12951</v>
          </cell>
          <cell r="B2918" t="str">
            <v>T.O. Ph10 Creative S</v>
          </cell>
        </row>
        <row r="2919">
          <cell r="A2919">
            <v>12952</v>
          </cell>
          <cell r="B2919" t="str">
            <v>Stockport Interchge</v>
          </cell>
        </row>
        <row r="2920">
          <cell r="A2920">
            <v>12953</v>
          </cell>
          <cell r="B2920" t="str">
            <v>CYP ASYE</v>
          </cell>
        </row>
        <row r="2921">
          <cell r="A2921">
            <v>12954</v>
          </cell>
          <cell r="B2921" t="str">
            <v>Missing Hub</v>
          </cell>
        </row>
        <row r="2922">
          <cell r="A2922">
            <v>12955</v>
          </cell>
          <cell r="B2922" t="str">
            <v>Retail appeals</v>
          </cell>
        </row>
        <row r="2923">
          <cell r="A2923">
            <v>12956</v>
          </cell>
          <cell r="B2923" t="str">
            <v>VM Overdale CC</v>
          </cell>
        </row>
        <row r="2924">
          <cell r="A2924">
            <v>12957</v>
          </cell>
          <cell r="B2924" t="str">
            <v>RAA Adoption Count</v>
          </cell>
        </row>
        <row r="2925">
          <cell r="A2925">
            <v>12958</v>
          </cell>
          <cell r="B2925" t="str">
            <v>IT Liquid Logic Proj</v>
          </cell>
        </row>
        <row r="2926">
          <cell r="A2926">
            <v>12959</v>
          </cell>
          <cell r="B2926" t="str">
            <v>POD - Car Pool Club</v>
          </cell>
        </row>
        <row r="2927">
          <cell r="A2927">
            <v>12960</v>
          </cell>
          <cell r="B2927" t="str">
            <v>SEND Strategic Plann</v>
          </cell>
        </row>
        <row r="2928">
          <cell r="A2928">
            <v>12961</v>
          </cell>
          <cell r="B2928" t="str">
            <v>*DbD - Phase 2</v>
          </cell>
        </row>
        <row r="2929">
          <cell r="A2929">
            <v>12962</v>
          </cell>
          <cell r="B2929" t="str">
            <v>BREDBURY GRN ACADEMY</v>
          </cell>
        </row>
        <row r="2930">
          <cell r="A2930">
            <v>12963</v>
          </cell>
          <cell r="B2930" t="str">
            <v>Bridgefield Street</v>
          </cell>
        </row>
        <row r="2931">
          <cell r="A2931">
            <v>12964</v>
          </cell>
          <cell r="B2931" t="str">
            <v>Beacon Way (Aurora)</v>
          </cell>
        </row>
        <row r="2932">
          <cell r="A2932">
            <v>12965</v>
          </cell>
          <cell r="B2932" t="str">
            <v>GMCA Cmnity Sfty Fnd</v>
          </cell>
        </row>
        <row r="2933">
          <cell r="A2933">
            <v>12966</v>
          </cell>
          <cell r="B2933" t="str">
            <v>Enhanced Case Managm</v>
          </cell>
        </row>
        <row r="2934">
          <cell r="A2934">
            <v>12967</v>
          </cell>
          <cell r="B2934" t="str">
            <v>RAA - Ctr Excellence</v>
          </cell>
        </row>
        <row r="2935">
          <cell r="A2935">
            <v>12968</v>
          </cell>
          <cell r="B2935" t="str">
            <v>RAA - ASF Grant</v>
          </cell>
        </row>
        <row r="2936">
          <cell r="A2936">
            <v>12969</v>
          </cell>
          <cell r="B2936" t="str">
            <v>Night Assessment Tea</v>
          </cell>
        </row>
        <row r="2937">
          <cell r="A2937">
            <v>12970</v>
          </cell>
          <cell r="B2937" t="str">
            <v>Referral &amp; Info Team</v>
          </cell>
        </row>
        <row r="2938">
          <cell r="A2938">
            <v>12971</v>
          </cell>
          <cell r="B2938" t="str">
            <v>IT Trade- S Together</v>
          </cell>
        </row>
        <row r="2939">
          <cell r="A2939">
            <v>12973</v>
          </cell>
          <cell r="B2939" t="str">
            <v>Early Years DAF</v>
          </cell>
        </row>
        <row r="2940">
          <cell r="A2940">
            <v>12974</v>
          </cell>
          <cell r="B2940" t="str">
            <v>*Support Emp Project</v>
          </cell>
        </row>
        <row r="2941">
          <cell r="A2941">
            <v>12975</v>
          </cell>
          <cell r="B2941" t="str">
            <v>*CQC Review</v>
          </cell>
        </row>
        <row r="2942">
          <cell r="A2942">
            <v>12976</v>
          </cell>
          <cell r="B2942" t="str">
            <v>SG NAAS Funding</v>
          </cell>
        </row>
        <row r="2943">
          <cell r="A2943">
            <v>12977</v>
          </cell>
          <cell r="B2943" t="str">
            <v>Broadfields 16+ Unit</v>
          </cell>
        </row>
        <row r="2944">
          <cell r="A2944">
            <v>12978</v>
          </cell>
          <cell r="B2944" t="str">
            <v>SCDIP</v>
          </cell>
        </row>
        <row r="2945">
          <cell r="A2945">
            <v>12979</v>
          </cell>
          <cell r="B2945" t="str">
            <v>Com. Invest Fund</v>
          </cell>
        </row>
        <row r="2946">
          <cell r="A2946">
            <v>12980</v>
          </cell>
          <cell r="B2946" t="str">
            <v>*CYP SW Support</v>
          </cell>
        </row>
        <row r="2947">
          <cell r="A2947">
            <v>12981</v>
          </cell>
          <cell r="B2947" t="str">
            <v>MH Admin East</v>
          </cell>
        </row>
        <row r="2948">
          <cell r="A2948">
            <v>12982</v>
          </cell>
          <cell r="B2948" t="str">
            <v>MH Admin West</v>
          </cell>
        </row>
        <row r="2949">
          <cell r="A2949">
            <v>12983</v>
          </cell>
          <cell r="B2949" t="str">
            <v>PPS Staff</v>
          </cell>
        </row>
        <row r="2950">
          <cell r="A2950">
            <v>12984</v>
          </cell>
          <cell r="B2950" t="str">
            <v>*Recovery Hub East</v>
          </cell>
        </row>
        <row r="2951">
          <cell r="A2951">
            <v>12985</v>
          </cell>
          <cell r="B2951" t="str">
            <v>*Recovery Hub West</v>
          </cell>
        </row>
        <row r="2952">
          <cell r="A2952">
            <v>12986</v>
          </cell>
          <cell r="B2952" t="str">
            <v>Recovery East Purch</v>
          </cell>
        </row>
        <row r="2953">
          <cell r="A2953">
            <v>12987</v>
          </cell>
          <cell r="B2953" t="str">
            <v>Recovery West Purch</v>
          </cell>
        </row>
        <row r="2954">
          <cell r="A2954">
            <v>12988</v>
          </cell>
          <cell r="B2954" t="str">
            <v>Willow Avenue</v>
          </cell>
        </row>
        <row r="2955">
          <cell r="A2955">
            <v>12989</v>
          </cell>
          <cell r="B2955" t="str">
            <v>CMHT East</v>
          </cell>
        </row>
        <row r="2956">
          <cell r="A2956">
            <v>12990</v>
          </cell>
          <cell r="B2956" t="str">
            <v>CMHT East Purchasing</v>
          </cell>
        </row>
        <row r="2957">
          <cell r="A2957">
            <v>12991</v>
          </cell>
          <cell r="B2957" t="str">
            <v>CMHT West</v>
          </cell>
        </row>
        <row r="2958">
          <cell r="A2958">
            <v>12992</v>
          </cell>
          <cell r="B2958" t="str">
            <v>CMHT West Purchasing</v>
          </cell>
        </row>
        <row r="2959">
          <cell r="A2959">
            <v>12993</v>
          </cell>
          <cell r="B2959" t="str">
            <v>IT Bed Provision</v>
          </cell>
        </row>
        <row r="2960">
          <cell r="A2960">
            <v>12994</v>
          </cell>
          <cell r="B2960" t="str">
            <v>ITT Hospital SW</v>
          </cell>
        </row>
        <row r="2961">
          <cell r="A2961">
            <v>12995</v>
          </cell>
          <cell r="B2961" t="str">
            <v>AR Home Based SW</v>
          </cell>
        </row>
        <row r="2962">
          <cell r="A2962">
            <v>12996</v>
          </cell>
          <cell r="B2962" t="str">
            <v>EY - Central Staffin</v>
          </cell>
        </row>
        <row r="2963">
          <cell r="A2963">
            <v>12997</v>
          </cell>
          <cell r="B2963" t="str">
            <v>Partners In Practice</v>
          </cell>
        </row>
        <row r="2964">
          <cell r="A2964">
            <v>12998</v>
          </cell>
          <cell r="B2964" t="str">
            <v>MEADOWBANK PRIMARY (</v>
          </cell>
        </row>
        <row r="2965">
          <cell r="A2965">
            <v>12999</v>
          </cell>
          <cell r="B2965" t="str">
            <v>Fred Perry House Eve</v>
          </cell>
        </row>
        <row r="2966">
          <cell r="A2966">
            <v>13000</v>
          </cell>
          <cell r="B2966" t="str">
            <v>iBCF</v>
          </cell>
        </row>
        <row r="2967">
          <cell r="A2967">
            <v>13001</v>
          </cell>
          <cell r="B2967" t="str">
            <v>IT AVA Non - SLA</v>
          </cell>
        </row>
        <row r="2968">
          <cell r="A2968">
            <v>13002</v>
          </cell>
          <cell r="B2968" t="str">
            <v>*Etherow Park CP</v>
          </cell>
        </row>
        <row r="2969">
          <cell r="A2969">
            <v>13003</v>
          </cell>
          <cell r="B2969" t="str">
            <v>*Bruntwood Park CP</v>
          </cell>
        </row>
        <row r="2970">
          <cell r="A2970">
            <v>13004</v>
          </cell>
          <cell r="B2970" t="str">
            <v>Tameside Partnership</v>
          </cell>
        </row>
        <row r="2971">
          <cell r="A2971">
            <v>13005</v>
          </cell>
          <cell r="B2971" t="str">
            <v>Central 1 Staffing</v>
          </cell>
        </row>
        <row r="2972">
          <cell r="A2972">
            <v>13006</v>
          </cell>
          <cell r="B2972" t="str">
            <v>Info, Advice &amp; Guide</v>
          </cell>
        </row>
        <row r="2973">
          <cell r="A2973">
            <v>13007</v>
          </cell>
          <cell r="B2973" t="str">
            <v>*EIT Purchasing</v>
          </cell>
        </row>
        <row r="2974">
          <cell r="A2974">
            <v>13008</v>
          </cell>
          <cell r="B2974" t="str">
            <v>ST MARYS RC PRIMARY</v>
          </cell>
        </row>
        <row r="2975">
          <cell r="A2975">
            <v>13009</v>
          </cell>
          <cell r="B2975" t="str">
            <v>Seashell Trust appea</v>
          </cell>
        </row>
        <row r="2976">
          <cell r="A2976">
            <v>13010</v>
          </cell>
          <cell r="B2976" t="str">
            <v>Highways G&amp;A Prog</v>
          </cell>
        </row>
        <row r="2977">
          <cell r="A2977">
            <v>13011</v>
          </cell>
          <cell r="B2977" t="str">
            <v>BS Apprentices</v>
          </cell>
        </row>
        <row r="2978">
          <cell r="A2978">
            <v>13012</v>
          </cell>
          <cell r="B2978" t="str">
            <v>FP - Special Guardia</v>
          </cell>
        </row>
        <row r="2979">
          <cell r="A2979">
            <v>13013</v>
          </cell>
          <cell r="B2979" t="str">
            <v>Chargeable work</v>
          </cell>
        </row>
        <row r="2980">
          <cell r="A2980">
            <v>13014</v>
          </cell>
          <cell r="B2980" t="str">
            <v>Moving Traffic</v>
          </cell>
        </row>
        <row r="2981">
          <cell r="A2981">
            <v>13015</v>
          </cell>
          <cell r="B2981" t="str">
            <v>Etherow Park CP</v>
          </cell>
        </row>
        <row r="2982">
          <cell r="A2982">
            <v>13016</v>
          </cell>
          <cell r="B2982" t="str">
            <v>Bruntwood Park CP</v>
          </cell>
        </row>
        <row r="2983">
          <cell r="A2983">
            <v>13017</v>
          </cell>
          <cell r="B2983" t="str">
            <v>Welfare Funerals</v>
          </cell>
        </row>
        <row r="2984">
          <cell r="A2984">
            <v>13018</v>
          </cell>
          <cell r="B2984" t="str">
            <v>*CHC Team</v>
          </cell>
        </row>
        <row r="2985">
          <cell r="A2985">
            <v>13019</v>
          </cell>
          <cell r="B2985" t="str">
            <v>Safeguarding</v>
          </cell>
        </row>
        <row r="2986">
          <cell r="A2986">
            <v>13020</v>
          </cell>
          <cell r="B2986" t="str">
            <v>Mgt Support</v>
          </cell>
        </row>
        <row r="2987">
          <cell r="A2987">
            <v>13021</v>
          </cell>
          <cell r="B2987" t="str">
            <v>Boroughwide</v>
          </cell>
        </row>
        <row r="2988">
          <cell r="A2988">
            <v>13022</v>
          </cell>
          <cell r="B2988" t="str">
            <v>Provider Mgt</v>
          </cell>
        </row>
        <row r="2989">
          <cell r="A2989">
            <v>13023</v>
          </cell>
          <cell r="B2989" t="str">
            <v>App, Lic &amp; Ext Cus</v>
          </cell>
        </row>
        <row r="2990">
          <cell r="A2990">
            <v>13024</v>
          </cell>
          <cell r="B2990" t="str">
            <v>Neighbourhoods</v>
          </cell>
        </row>
        <row r="2991">
          <cell r="A2991">
            <v>13025</v>
          </cell>
          <cell r="B2991" t="str">
            <v>Improvement Org</v>
          </cell>
        </row>
        <row r="2992">
          <cell r="A2992">
            <v>13026</v>
          </cell>
          <cell r="B2992" t="str">
            <v>SEND Inspection</v>
          </cell>
        </row>
        <row r="2993">
          <cell r="A2993">
            <v>13027</v>
          </cell>
          <cell r="B2993" t="str">
            <v>What Works - SBSW</v>
          </cell>
        </row>
        <row r="2994">
          <cell r="A2994">
            <v>13028</v>
          </cell>
          <cell r="B2994" t="str">
            <v>Scale &amp; Spread - ACT</v>
          </cell>
        </row>
        <row r="2995">
          <cell r="A2995">
            <v>13029</v>
          </cell>
          <cell r="B2995" t="str">
            <v>Scale &amp; Spread - NWD</v>
          </cell>
        </row>
        <row r="2996">
          <cell r="A2996">
            <v>13030</v>
          </cell>
          <cell r="B2996" t="str">
            <v>Werneth Programme</v>
          </cell>
        </row>
        <row r="2997">
          <cell r="A2997">
            <v>13031</v>
          </cell>
          <cell r="B2997" t="str">
            <v>Regional Imp Allianc</v>
          </cell>
        </row>
        <row r="2998">
          <cell r="A2998">
            <v>13032</v>
          </cell>
          <cell r="B2998" t="str">
            <v>CADA grant</v>
          </cell>
        </row>
        <row r="2999">
          <cell r="A2999">
            <v>13033</v>
          </cell>
          <cell r="B2999" t="str">
            <v>MDC Mayoral DC</v>
          </cell>
        </row>
        <row r="3000">
          <cell r="A3000">
            <v>13034</v>
          </cell>
          <cell r="B3000" t="str">
            <v>CYP PH Contracts</v>
          </cell>
        </row>
        <row r="3001">
          <cell r="A3001">
            <v>13035</v>
          </cell>
          <cell r="B3001" t="str">
            <v>CYP PH Staffing</v>
          </cell>
        </row>
        <row r="3002">
          <cell r="A3002">
            <v>13036</v>
          </cell>
          <cell r="B3002" t="str">
            <v>Reducing Prtal Conf</v>
          </cell>
        </row>
        <row r="3003">
          <cell r="A3003">
            <v>13037</v>
          </cell>
          <cell r="B3003" t="str">
            <v>EPEC Programme</v>
          </cell>
        </row>
        <row r="3004">
          <cell r="A3004">
            <v>13038</v>
          </cell>
          <cell r="B3004" t="str">
            <v>Alex Park Project</v>
          </cell>
        </row>
        <row r="3005">
          <cell r="A3005">
            <v>13039</v>
          </cell>
          <cell r="B3005" t="str">
            <v>A6 Marr Maintenance</v>
          </cell>
        </row>
        <row r="3006">
          <cell r="A3006">
            <v>13040</v>
          </cell>
          <cell r="B3006" t="str">
            <v>CPO Compulsory P Ord</v>
          </cell>
        </row>
        <row r="3007">
          <cell r="A3007">
            <v>13041</v>
          </cell>
          <cell r="B3007" t="str">
            <v>SI M&amp;B Grant</v>
          </cell>
        </row>
        <row r="3008">
          <cell r="A3008">
            <v>13042</v>
          </cell>
          <cell r="B3008" t="str">
            <v>Chadkirk Events</v>
          </cell>
        </row>
        <row r="3009">
          <cell r="A3009">
            <v>13043</v>
          </cell>
          <cell r="B3009" t="str">
            <v>T/master suspense</v>
          </cell>
        </row>
        <row r="3010">
          <cell r="A3010">
            <v>13044</v>
          </cell>
          <cell r="B3010" t="str">
            <v>I.T Business Relat</v>
          </cell>
        </row>
        <row r="3011">
          <cell r="A3011">
            <v>13045</v>
          </cell>
          <cell r="B3011" t="str">
            <v>Grafton street</v>
          </cell>
        </row>
        <row r="3012">
          <cell r="A3012">
            <v>13046</v>
          </cell>
          <cell r="B3012" t="str">
            <v>PossAbilities</v>
          </cell>
        </row>
        <row r="3013">
          <cell r="A3013">
            <v>13047</v>
          </cell>
          <cell r="B3013" t="str">
            <v>PH-Local Pilot</v>
          </cell>
        </row>
        <row r="3014">
          <cell r="A3014">
            <v>13048</v>
          </cell>
          <cell r="B3014" t="str">
            <v>Reddish ECH</v>
          </cell>
        </row>
        <row r="3015">
          <cell r="A3015">
            <v>13049</v>
          </cell>
          <cell r="B3015" t="str">
            <v>Edgeley ECH</v>
          </cell>
        </row>
        <row r="3016">
          <cell r="A3016">
            <v>13050</v>
          </cell>
          <cell r="B3016" t="str">
            <v>Marple ECH</v>
          </cell>
        </row>
        <row r="3017">
          <cell r="A3017">
            <v>13051</v>
          </cell>
          <cell r="B3017" t="str">
            <v>Heald Green ECH</v>
          </cell>
        </row>
        <row r="3018">
          <cell r="A3018">
            <v>13052</v>
          </cell>
          <cell r="B3018" t="str">
            <v>Former BHS</v>
          </cell>
        </row>
        <row r="3019">
          <cell r="A3019">
            <v>13053</v>
          </cell>
          <cell r="B3019" t="str">
            <v>Daw Bank Site/Office</v>
          </cell>
        </row>
        <row r="3020">
          <cell r="A3020">
            <v>13054</v>
          </cell>
          <cell r="B3020" t="str">
            <v>Fairfield Academy</v>
          </cell>
        </row>
        <row r="3021">
          <cell r="A3021">
            <v>13055</v>
          </cell>
          <cell r="B3021" t="str">
            <v>Admissions</v>
          </cell>
        </row>
        <row r="3022">
          <cell r="A3022">
            <v>13056</v>
          </cell>
          <cell r="B3022" t="str">
            <v>Temp CP - Stprt Exng</v>
          </cell>
        </row>
        <row r="3023">
          <cell r="A3023">
            <v>13057</v>
          </cell>
          <cell r="B3023" t="str">
            <v>Town deal Cheadle</v>
          </cell>
        </row>
        <row r="3024">
          <cell r="A3024">
            <v>13058</v>
          </cell>
          <cell r="B3024" t="str">
            <v>FDAC - Family D&amp;A Ct</v>
          </cell>
        </row>
        <row r="3025">
          <cell r="A3025">
            <v>13059</v>
          </cell>
          <cell r="B3025" t="str">
            <v>Struct Consult</v>
          </cell>
        </row>
        <row r="3026">
          <cell r="A3026">
            <v>13060</v>
          </cell>
          <cell r="B3026" t="str">
            <v>Transport Strategy</v>
          </cell>
        </row>
        <row r="3027">
          <cell r="A3027">
            <v>13061</v>
          </cell>
          <cell r="B3027" t="str">
            <v>Project Work</v>
          </cell>
        </row>
        <row r="3028">
          <cell r="A3028">
            <v>13062</v>
          </cell>
          <cell r="B3028" t="str">
            <v>Feasibility</v>
          </cell>
        </row>
        <row r="3029">
          <cell r="A3029">
            <v>13063</v>
          </cell>
          <cell r="B3029" t="str">
            <v>Trans Cap HOS</v>
          </cell>
        </row>
        <row r="3030">
          <cell r="A3030">
            <v>13064</v>
          </cell>
          <cell r="B3030" t="str">
            <v>Pro &amp; Prog Mgt</v>
          </cell>
        </row>
        <row r="3031">
          <cell r="A3031">
            <v>13065</v>
          </cell>
          <cell r="B3031" t="str">
            <v>New Beginnings</v>
          </cell>
        </row>
        <row r="3032">
          <cell r="A3032">
            <v>13066</v>
          </cell>
          <cell r="B3032" t="str">
            <v>Practice Lead Team</v>
          </cell>
        </row>
        <row r="3033">
          <cell r="A3033">
            <v>13067</v>
          </cell>
          <cell r="B3033" t="str">
            <v>PWI SS Manager</v>
          </cell>
        </row>
        <row r="3034">
          <cell r="A3034">
            <v>13068</v>
          </cell>
          <cell r="B3034" t="str">
            <v>EFD Team Manager</v>
          </cell>
        </row>
        <row r="3035">
          <cell r="A3035">
            <v>13069</v>
          </cell>
          <cell r="B3035" t="str">
            <v>REaCH SS Manager</v>
          </cell>
        </row>
        <row r="3036">
          <cell r="A3036">
            <v>13070</v>
          </cell>
          <cell r="B3036" t="str">
            <v>LDSS SS Manager</v>
          </cell>
        </row>
        <row r="3037">
          <cell r="A3037">
            <v>13071</v>
          </cell>
          <cell r="B3037" t="str">
            <v>Wellbeing Leads</v>
          </cell>
        </row>
        <row r="3038">
          <cell r="A3038">
            <v>13072</v>
          </cell>
          <cell r="B3038" t="str">
            <v>N/Hoods SS Managers</v>
          </cell>
        </row>
        <row r="3039">
          <cell r="A3039">
            <v>13073</v>
          </cell>
          <cell r="B3039" t="str">
            <v>LD SS Manager</v>
          </cell>
        </row>
        <row r="3040">
          <cell r="A3040">
            <v>13074</v>
          </cell>
          <cell r="B3040" t="str">
            <v>Support Accom Other</v>
          </cell>
        </row>
        <row r="3041">
          <cell r="A3041">
            <v>13075</v>
          </cell>
          <cell r="B3041" t="str">
            <v>Team Manager Quality</v>
          </cell>
        </row>
        <row r="3042">
          <cell r="A3042">
            <v>13076</v>
          </cell>
          <cell r="B3042" t="str">
            <v>Review Team</v>
          </cell>
        </row>
        <row r="3043">
          <cell r="A3043">
            <v>13077</v>
          </cell>
          <cell r="B3043" t="str">
            <v>Andrew St Car Park</v>
          </cell>
        </row>
        <row r="3044">
          <cell r="A3044">
            <v>13078</v>
          </cell>
          <cell r="B3044" t="str">
            <v>Blackshaws</v>
          </cell>
        </row>
        <row r="3045">
          <cell r="A3045">
            <v>13079</v>
          </cell>
          <cell r="B3045" t="str">
            <v>COMMA Project</v>
          </cell>
        </row>
        <row r="3046">
          <cell r="A3046">
            <v>13080</v>
          </cell>
          <cell r="B3046" t="str">
            <v>PH-Test &amp; Trace</v>
          </cell>
        </row>
        <row r="3047">
          <cell r="A3047">
            <v>13081</v>
          </cell>
          <cell r="B3047" t="str">
            <v>COVID Disc.B.Grant</v>
          </cell>
        </row>
        <row r="3048">
          <cell r="A3048">
            <v>13082</v>
          </cell>
          <cell r="B3048" t="str">
            <v>COVID Disc.CT Grants</v>
          </cell>
        </row>
        <row r="3049">
          <cell r="A3049">
            <v>13083</v>
          </cell>
          <cell r="B3049" t="str">
            <v>Citizen Foc. &amp; Comp</v>
          </cell>
        </row>
        <row r="3050">
          <cell r="A3050">
            <v>13084</v>
          </cell>
          <cell r="B3050" t="str">
            <v>CMHT West CSW</v>
          </cell>
        </row>
        <row r="3051">
          <cell r="A3051">
            <v>13085</v>
          </cell>
          <cell r="B3051" t="str">
            <v>Stockport Exch.Phase</v>
          </cell>
        </row>
        <row r="3052">
          <cell r="A3052">
            <v>13086</v>
          </cell>
          <cell r="B3052" t="str">
            <v>CMHT East CSW</v>
          </cell>
        </row>
        <row r="3053">
          <cell r="A3053">
            <v>13087</v>
          </cell>
          <cell r="B3053" t="str">
            <v>£500 COVID +ve Grant</v>
          </cell>
        </row>
        <row r="3054">
          <cell r="A3054">
            <v>13088</v>
          </cell>
          <cell r="B3054" t="str">
            <v>Digital Adv. Screens</v>
          </cell>
        </row>
        <row r="3055">
          <cell r="A3055">
            <v>13089</v>
          </cell>
          <cell r="B3055" t="str">
            <v>C19 LOCAL RESTRICT'S</v>
          </cell>
        </row>
        <row r="3056">
          <cell r="A3056">
            <v>13090</v>
          </cell>
          <cell r="B3056" t="str">
            <v>St Annes RC High Sch</v>
          </cell>
        </row>
        <row r="3057">
          <cell r="A3057">
            <v>13091</v>
          </cell>
          <cell r="B3057" t="str">
            <v>IT Microsoft</v>
          </cell>
        </row>
        <row r="3058">
          <cell r="A3058">
            <v>13092</v>
          </cell>
          <cell r="B3058" t="str">
            <v>Local Res Supp Grant</v>
          </cell>
        </row>
        <row r="3059">
          <cell r="A3059">
            <v>13093</v>
          </cell>
          <cell r="B3059" t="str">
            <v>Add Restiction Grant</v>
          </cell>
        </row>
        <row r="3060">
          <cell r="A3060">
            <v>13094</v>
          </cell>
          <cell r="B3060" t="str">
            <v>Autism SC Purchasing</v>
          </cell>
        </row>
        <row r="3061">
          <cell r="A3061">
            <v>13095</v>
          </cell>
          <cell r="B3061" t="str">
            <v>PIP COVID</v>
          </cell>
        </row>
        <row r="3062">
          <cell r="A3062">
            <v>13096</v>
          </cell>
          <cell r="B3062" t="str">
            <v>COVID Winter Grant</v>
          </cell>
        </row>
        <row r="3063">
          <cell r="A3063">
            <v>13097</v>
          </cell>
          <cell r="B3063" t="str">
            <v>PH - COMF Grant</v>
          </cell>
        </row>
        <row r="3064">
          <cell r="A3064">
            <v>13098</v>
          </cell>
          <cell r="B3064" t="str">
            <v>Wet Pub Grants</v>
          </cell>
        </row>
        <row r="3065">
          <cell r="A3065">
            <v>13099</v>
          </cell>
          <cell r="B3065" t="str">
            <v>C19 Rest Post 31.12</v>
          </cell>
        </row>
        <row r="3066">
          <cell r="A3066">
            <v>13100</v>
          </cell>
          <cell r="B3066" t="str">
            <v>Holiday Activities</v>
          </cell>
        </row>
        <row r="3067">
          <cell r="A3067">
            <v>13101</v>
          </cell>
          <cell r="B3067" t="str">
            <v>Rapid Testing</v>
          </cell>
        </row>
        <row r="3068">
          <cell r="A3068">
            <v>13102</v>
          </cell>
          <cell r="B3068" t="str">
            <v>Werneth Academy</v>
          </cell>
        </row>
        <row r="3069">
          <cell r="A3069">
            <v>13103</v>
          </cell>
          <cell r="B3069" t="str">
            <v>Community Champions</v>
          </cell>
        </row>
        <row r="3070">
          <cell r="A3070">
            <v>13104</v>
          </cell>
          <cell r="B3070" t="str">
            <v>Workforce Capacity</v>
          </cell>
        </row>
        <row r="3071">
          <cell r="A3071">
            <v>13105</v>
          </cell>
          <cell r="B3071" t="str">
            <v>Autism Purchasing</v>
          </cell>
        </row>
        <row r="3072">
          <cell r="A3072">
            <v>13106</v>
          </cell>
          <cell r="B3072" t="str">
            <v>CIC</v>
          </cell>
        </row>
        <row r="3073">
          <cell r="A3073">
            <v>13107</v>
          </cell>
          <cell r="B3073" t="str">
            <v>MS Design Frnwk Staf</v>
          </cell>
        </row>
        <row r="3074">
          <cell r="A3074">
            <v>13108</v>
          </cell>
          <cell r="B3074" t="str">
            <v>SW Apprenticeship</v>
          </cell>
        </row>
        <row r="3075">
          <cell r="A3075">
            <v>13109</v>
          </cell>
          <cell r="B3075" t="str">
            <v>C19 Rest Post 15.02</v>
          </cell>
        </row>
        <row r="3076">
          <cell r="A3076">
            <v>13110</v>
          </cell>
          <cell r="B3076" t="str">
            <v>BS Operational Mgt</v>
          </cell>
        </row>
        <row r="3077">
          <cell r="A3077">
            <v>13111</v>
          </cell>
          <cell r="B3077" t="str">
            <v>Domestic Abuse Bill</v>
          </cell>
        </row>
        <row r="3078">
          <cell r="A3078">
            <v>13112</v>
          </cell>
          <cell r="B3078" t="str">
            <v>Climate Change Now</v>
          </cell>
        </row>
        <row r="3079">
          <cell r="A3079">
            <v>13113</v>
          </cell>
          <cell r="B3079" t="str">
            <v>Improving Planning</v>
          </cell>
        </row>
        <row r="3080">
          <cell r="A3080">
            <v>13114</v>
          </cell>
          <cell r="B3080" t="str">
            <v>Phoenix PPE hub</v>
          </cell>
        </row>
        <row r="3081">
          <cell r="A3081">
            <v>13115</v>
          </cell>
          <cell r="B3081" t="str">
            <v>Restart Grants (C19)</v>
          </cell>
        </row>
        <row r="3082">
          <cell r="A3082">
            <v>13116</v>
          </cell>
          <cell r="B3082" t="str">
            <v>EL Trust</v>
          </cell>
        </row>
        <row r="3083">
          <cell r="A3083">
            <v>13117</v>
          </cell>
          <cell r="B3083" t="str">
            <v>ERCM Payments</v>
          </cell>
        </row>
        <row r="3084">
          <cell r="A3084">
            <v>13118</v>
          </cell>
          <cell r="B3084" t="str">
            <v>Headteacher Support</v>
          </cell>
        </row>
        <row r="3085">
          <cell r="A3085">
            <v>13119</v>
          </cell>
          <cell r="B3085" t="str">
            <v>Winters</v>
          </cell>
        </row>
        <row r="3086">
          <cell r="A3086">
            <v>13120</v>
          </cell>
          <cell r="B3086" t="str">
            <v>White Lion</v>
          </cell>
        </row>
        <row r="3087">
          <cell r="A3087">
            <v>13121</v>
          </cell>
          <cell r="B3087" t="str">
            <v>Infection Control T3</v>
          </cell>
        </row>
        <row r="3088">
          <cell r="A3088">
            <v>51000</v>
          </cell>
          <cell r="B3088" t="str">
            <v>*Civic Catering</v>
          </cell>
        </row>
        <row r="3089">
          <cell r="A3089">
            <v>51001</v>
          </cell>
          <cell r="B3089" t="str">
            <v>*Civic Catering  Adm</v>
          </cell>
        </row>
        <row r="3090">
          <cell r="A3090">
            <v>51002</v>
          </cell>
          <cell r="B3090" t="str">
            <v>*Cleansing</v>
          </cell>
        </row>
        <row r="3091">
          <cell r="A3091">
            <v>51003</v>
          </cell>
          <cell r="B3091" t="str">
            <v>*Cleansing  Adminis</v>
          </cell>
        </row>
        <row r="3092">
          <cell r="A3092">
            <v>51004</v>
          </cell>
          <cell r="B3092" t="str">
            <v>*Contract Cleaning</v>
          </cell>
        </row>
        <row r="3093">
          <cell r="A3093">
            <v>51005</v>
          </cell>
          <cell r="B3093" t="str">
            <v>*Contract Cleaning</v>
          </cell>
        </row>
        <row r="3094">
          <cell r="A3094">
            <v>51006</v>
          </cell>
          <cell r="B3094" t="str">
            <v>*Building Contracts</v>
          </cell>
        </row>
        <row r="3095">
          <cell r="A3095">
            <v>51007</v>
          </cell>
          <cell r="B3095" t="str">
            <v>*Building Contracts</v>
          </cell>
        </row>
        <row r="3096">
          <cell r="A3096">
            <v>51008</v>
          </cell>
          <cell r="B3096" t="str">
            <v>*Control Centre</v>
          </cell>
        </row>
        <row r="3097">
          <cell r="A3097">
            <v>51009</v>
          </cell>
          <cell r="B3097" t="str">
            <v>*Control  centre Ad</v>
          </cell>
        </row>
        <row r="3098">
          <cell r="A3098">
            <v>51010</v>
          </cell>
          <cell r="B3098" t="str">
            <v>*Education Gound</v>
          </cell>
        </row>
        <row r="3099">
          <cell r="A3099">
            <v>51011</v>
          </cell>
          <cell r="B3099" t="str">
            <v>*Education Gounds</v>
          </cell>
        </row>
        <row r="3100">
          <cell r="A3100">
            <v>51012</v>
          </cell>
          <cell r="B3100" t="str">
            <v>*Fleet Management</v>
          </cell>
        </row>
        <row r="3101">
          <cell r="A3101">
            <v>51013</v>
          </cell>
          <cell r="B3101" t="str">
            <v>*SDS Drivers</v>
          </cell>
        </row>
        <row r="3102">
          <cell r="A3102">
            <v>51014</v>
          </cell>
          <cell r="B3102" t="str">
            <v>*Fleet Management  A</v>
          </cell>
        </row>
        <row r="3103">
          <cell r="A3103">
            <v>51015</v>
          </cell>
          <cell r="B3103" t="str">
            <v>*Highways</v>
          </cell>
        </row>
        <row r="3104">
          <cell r="A3104">
            <v>51016</v>
          </cell>
          <cell r="B3104" t="str">
            <v>*Eco Centre</v>
          </cell>
        </row>
        <row r="3105">
          <cell r="A3105">
            <v>51017</v>
          </cell>
          <cell r="B3105" t="str">
            <v>*Highways  Administ</v>
          </cell>
        </row>
        <row r="3106">
          <cell r="A3106">
            <v>51018</v>
          </cell>
          <cell r="B3106" t="str">
            <v>*Housing Grounds</v>
          </cell>
        </row>
        <row r="3107">
          <cell r="A3107">
            <v>51019</v>
          </cell>
          <cell r="B3107" t="str">
            <v>*Housing Grounds  A</v>
          </cell>
        </row>
        <row r="3108">
          <cell r="A3108">
            <v>51020</v>
          </cell>
          <cell r="B3108" t="str">
            <v>*Joinery</v>
          </cell>
        </row>
        <row r="3109">
          <cell r="A3109">
            <v>51021</v>
          </cell>
          <cell r="B3109" t="str">
            <v>*Joinery  Administr</v>
          </cell>
        </row>
        <row r="3110">
          <cell r="A3110">
            <v>51022</v>
          </cell>
          <cell r="B3110" t="str">
            <v>*Pre paint/Painting</v>
          </cell>
        </row>
        <row r="3111">
          <cell r="A3111">
            <v>51023</v>
          </cell>
          <cell r="B3111" t="str">
            <v>*Pre paint/Painting</v>
          </cell>
        </row>
        <row r="3112">
          <cell r="A3112">
            <v>51024</v>
          </cell>
          <cell r="B3112" t="str">
            <v>*Public Buildings</v>
          </cell>
        </row>
        <row r="3113">
          <cell r="A3113">
            <v>51025</v>
          </cell>
          <cell r="B3113" t="str">
            <v>*Public Buildings</v>
          </cell>
        </row>
        <row r="3114">
          <cell r="A3114">
            <v>51026</v>
          </cell>
          <cell r="B3114" t="str">
            <v>*Public Buildings</v>
          </cell>
        </row>
        <row r="3115">
          <cell r="A3115">
            <v>51027</v>
          </cell>
          <cell r="B3115" t="str">
            <v>*Public Buildings -E</v>
          </cell>
        </row>
        <row r="3116">
          <cell r="A3116">
            <v>51028</v>
          </cell>
          <cell r="B3116" t="str">
            <v>*School Meals</v>
          </cell>
        </row>
        <row r="3117">
          <cell r="A3117">
            <v>51029</v>
          </cell>
          <cell r="B3117" t="str">
            <v>*School Meals Admn</v>
          </cell>
        </row>
        <row r="3118">
          <cell r="A3118">
            <v>51030</v>
          </cell>
          <cell r="B3118" t="str">
            <v>*Security</v>
          </cell>
        </row>
        <row r="3119">
          <cell r="A3119">
            <v>51031</v>
          </cell>
          <cell r="B3119" t="str">
            <v>*Security Admn</v>
          </cell>
        </row>
        <row r="3120">
          <cell r="A3120">
            <v>51032</v>
          </cell>
          <cell r="B3120" t="str">
            <v>*Sign Shop</v>
          </cell>
        </row>
        <row r="3121">
          <cell r="A3121">
            <v>51033</v>
          </cell>
          <cell r="B3121" t="str">
            <v>*Sign Shop Admn</v>
          </cell>
        </row>
        <row r="3122">
          <cell r="A3122">
            <v>51034</v>
          </cell>
          <cell r="B3122" t="str">
            <v>*Special Education N</v>
          </cell>
        </row>
        <row r="3123">
          <cell r="A3123">
            <v>51035</v>
          </cell>
          <cell r="B3123" t="str">
            <v>*Special Education N</v>
          </cell>
        </row>
        <row r="3124">
          <cell r="A3124">
            <v>51036</v>
          </cell>
          <cell r="B3124" t="str">
            <v>*Street Grounds</v>
          </cell>
        </row>
        <row r="3125">
          <cell r="A3125">
            <v>51037</v>
          </cell>
          <cell r="B3125" t="str">
            <v>*Street Grounds Admn</v>
          </cell>
        </row>
        <row r="3126">
          <cell r="A3126">
            <v>51038</v>
          </cell>
          <cell r="B3126" t="str">
            <v>*Street Lighting</v>
          </cell>
        </row>
        <row r="3127">
          <cell r="A3127">
            <v>51039</v>
          </cell>
          <cell r="B3127" t="str">
            <v>*Street Grounds Admn</v>
          </cell>
        </row>
        <row r="3128">
          <cell r="A3128">
            <v>51040</v>
          </cell>
          <cell r="B3128" t="str">
            <v>*Accounts</v>
          </cell>
        </row>
        <row r="3129">
          <cell r="A3129">
            <v>51041</v>
          </cell>
          <cell r="B3129" t="str">
            <v>*IT</v>
          </cell>
        </row>
        <row r="3130">
          <cell r="A3130">
            <v>51042</v>
          </cell>
          <cell r="B3130" t="str">
            <v>*Divisional Admin</v>
          </cell>
        </row>
        <row r="3131">
          <cell r="A3131">
            <v>51043</v>
          </cell>
          <cell r="B3131" t="str">
            <v>*Projects</v>
          </cell>
        </row>
        <row r="3132">
          <cell r="A3132">
            <v>51044</v>
          </cell>
          <cell r="B3132" t="str">
            <v>*QA</v>
          </cell>
        </row>
        <row r="3133">
          <cell r="A3133">
            <v>51045</v>
          </cell>
          <cell r="B3133" t="str">
            <v>*Stores</v>
          </cell>
        </row>
        <row r="3134">
          <cell r="A3134">
            <v>51046</v>
          </cell>
          <cell r="B3134" t="str">
            <v>*marketing</v>
          </cell>
        </row>
        <row r="3135">
          <cell r="A3135">
            <v>51047</v>
          </cell>
          <cell r="B3135" t="str">
            <v>*Enterprise House De</v>
          </cell>
        </row>
        <row r="3136">
          <cell r="A3136">
            <v>60001</v>
          </cell>
          <cell r="B3136" t="str">
            <v>*Hallfield Guest Hse</v>
          </cell>
        </row>
        <row r="3137">
          <cell r="A3137">
            <v>60002</v>
          </cell>
          <cell r="B3137" t="str">
            <v>Ind Opts Hntrs Close</v>
          </cell>
        </row>
        <row r="3138">
          <cell r="A3138">
            <v>60003</v>
          </cell>
          <cell r="B3138" t="str">
            <v>*Ind Opts CYP Svce</v>
          </cell>
        </row>
        <row r="3139">
          <cell r="A3139">
            <v>60004</v>
          </cell>
          <cell r="B3139" t="str">
            <v>Ind Opts Adult Place</v>
          </cell>
        </row>
        <row r="3140">
          <cell r="A3140">
            <v>60005</v>
          </cell>
          <cell r="B3140" t="str">
            <v>*Ind Opts M. &amp; Admin</v>
          </cell>
        </row>
        <row r="3141">
          <cell r="A3141">
            <v>60006</v>
          </cell>
          <cell r="B3141" t="str">
            <v>*Ind Opts Adults LD</v>
          </cell>
        </row>
        <row r="3142">
          <cell r="A3142">
            <v>60007</v>
          </cell>
          <cell r="B3142" t="str">
            <v>*Ind Opts Right Star</v>
          </cell>
        </row>
        <row r="3143">
          <cell r="A3143">
            <v>60008</v>
          </cell>
          <cell r="B3143" t="str">
            <v>*Ind Opts Short Brea</v>
          </cell>
        </row>
        <row r="3144">
          <cell r="A3144">
            <v>60009</v>
          </cell>
          <cell r="B3144" t="str">
            <v>*Ind Opts SASH Ten'y</v>
          </cell>
        </row>
        <row r="3145">
          <cell r="A3145">
            <v>60010</v>
          </cell>
          <cell r="B3145" t="str">
            <v>*Ind Opts Offenders</v>
          </cell>
        </row>
        <row r="3146">
          <cell r="A3146">
            <v>60011</v>
          </cell>
          <cell r="B3146" t="str">
            <v>*Ind Opts Home Mgt</v>
          </cell>
        </row>
        <row r="3147">
          <cell r="A3147">
            <v>60012</v>
          </cell>
          <cell r="B3147" t="str">
            <v>*Ind Opts Holiday Pv</v>
          </cell>
        </row>
        <row r="3148">
          <cell r="A3148">
            <v>60013</v>
          </cell>
          <cell r="B3148" t="str">
            <v>*Ind Opts 539.14</v>
          </cell>
        </row>
        <row r="3149">
          <cell r="A3149">
            <v>60014</v>
          </cell>
          <cell r="B3149" t="str">
            <v>*Ind Opts Beech Ave</v>
          </cell>
        </row>
        <row r="3150">
          <cell r="A3150">
            <v>60015</v>
          </cell>
          <cell r="B3150" t="str">
            <v>*Ind Opts General</v>
          </cell>
        </row>
        <row r="3151">
          <cell r="A3151">
            <v>60020</v>
          </cell>
          <cell r="B3151" t="str">
            <v>*Age Concern (01)</v>
          </cell>
        </row>
        <row r="3152">
          <cell r="A3152">
            <v>60021</v>
          </cell>
          <cell r="B3152" t="str">
            <v>*Age Concern (02)</v>
          </cell>
        </row>
        <row r="3153">
          <cell r="A3153">
            <v>60022</v>
          </cell>
          <cell r="B3153" t="str">
            <v>*Age Concern (05)</v>
          </cell>
        </row>
        <row r="3154">
          <cell r="A3154">
            <v>60023</v>
          </cell>
          <cell r="B3154" t="str">
            <v>*Age Concern (08)</v>
          </cell>
        </row>
        <row r="3155">
          <cell r="A3155">
            <v>60024</v>
          </cell>
          <cell r="B3155" t="str">
            <v>*Age Concern (11)</v>
          </cell>
        </row>
        <row r="3156">
          <cell r="A3156">
            <v>60025</v>
          </cell>
          <cell r="B3156" t="str">
            <v>*Age Concern (12)</v>
          </cell>
        </row>
        <row r="3157">
          <cell r="A3157">
            <v>60026</v>
          </cell>
          <cell r="B3157" t="str">
            <v>*Age Concern (18)</v>
          </cell>
        </row>
        <row r="3158">
          <cell r="A3158">
            <v>60027</v>
          </cell>
          <cell r="B3158" t="str">
            <v>*Age Concern (20)</v>
          </cell>
        </row>
        <row r="3159">
          <cell r="A3159">
            <v>60035</v>
          </cell>
          <cell r="B3159" t="str">
            <v>*Stockport CAB</v>
          </cell>
        </row>
        <row r="3160">
          <cell r="A3160">
            <v>60036</v>
          </cell>
          <cell r="B3160" t="str">
            <v>*Hazel Grove CAB</v>
          </cell>
        </row>
        <row r="3161">
          <cell r="A3161">
            <v>60037</v>
          </cell>
          <cell r="B3161" t="str">
            <v>*Cheadle CAB</v>
          </cell>
        </row>
        <row r="3162">
          <cell r="A3162">
            <v>60038</v>
          </cell>
          <cell r="B3162" t="str">
            <v>*Marple CAB</v>
          </cell>
        </row>
        <row r="3163">
          <cell r="A3163">
            <v>60040</v>
          </cell>
          <cell r="B3163" t="str">
            <v>*Signpost Admin</v>
          </cell>
        </row>
        <row r="3164">
          <cell r="A3164">
            <v>60041</v>
          </cell>
          <cell r="B3164" t="str">
            <v>*Signpost Stockport</v>
          </cell>
        </row>
        <row r="3165">
          <cell r="A3165">
            <v>60042</v>
          </cell>
          <cell r="B3165" t="str">
            <v>*Signpost Carers Wks</v>
          </cell>
        </row>
        <row r="3166">
          <cell r="A3166">
            <v>60045</v>
          </cell>
          <cell r="B3166" t="str">
            <v>*Disability Stockpor</v>
          </cell>
        </row>
        <row r="3167">
          <cell r="A3167">
            <v>60046</v>
          </cell>
          <cell r="B3167" t="str">
            <v>*Dis. Stock. Miscell</v>
          </cell>
        </row>
        <row r="3168">
          <cell r="A3168">
            <v>60047</v>
          </cell>
          <cell r="B3168" t="str">
            <v>*Dis.Stock.VS D/Bas</v>
          </cell>
        </row>
        <row r="3169">
          <cell r="A3169">
            <v>60048</v>
          </cell>
          <cell r="B3169" t="str">
            <v>*Dis.Stock.Cleric Wk</v>
          </cell>
        </row>
        <row r="3170">
          <cell r="A3170">
            <v>60049</v>
          </cell>
          <cell r="B3170" t="str">
            <v>*Connect +Organiser</v>
          </cell>
        </row>
        <row r="3171">
          <cell r="A3171">
            <v>60050</v>
          </cell>
          <cell r="B3171" t="str">
            <v>*Dis.Stock.938.08</v>
          </cell>
        </row>
        <row r="3172">
          <cell r="A3172">
            <v>60051</v>
          </cell>
          <cell r="B3172" t="str">
            <v>*Dis.Stock.938.11</v>
          </cell>
        </row>
        <row r="3173">
          <cell r="A3173">
            <v>60052</v>
          </cell>
          <cell r="B3173" t="str">
            <v>*Dis.Stock.938.21</v>
          </cell>
        </row>
        <row r="3174">
          <cell r="A3174">
            <v>60053</v>
          </cell>
          <cell r="B3174" t="str">
            <v>*Dis.Stock.938.22</v>
          </cell>
        </row>
        <row r="3175">
          <cell r="A3175">
            <v>60054</v>
          </cell>
          <cell r="B3175" t="str">
            <v>*Dis.Stock.938.23</v>
          </cell>
        </row>
        <row r="3176">
          <cell r="A3176">
            <v>60060</v>
          </cell>
          <cell r="B3176" t="str">
            <v>Offerton Vol Bureau</v>
          </cell>
        </row>
        <row r="3177">
          <cell r="A3177">
            <v>60061</v>
          </cell>
          <cell r="B3177" t="str">
            <v>Reddish Vol Bureau</v>
          </cell>
        </row>
        <row r="3178">
          <cell r="A3178">
            <v>60062</v>
          </cell>
          <cell r="B3178" t="str">
            <v>*Canal Boat Scheme</v>
          </cell>
        </row>
        <row r="3179">
          <cell r="A3179">
            <v>60063</v>
          </cell>
          <cell r="B3179" t="str">
            <v>*Stockport CVS</v>
          </cell>
        </row>
        <row r="3180">
          <cell r="A3180">
            <v>60064</v>
          </cell>
          <cell r="B3180" t="str">
            <v>*Cross Roads Scheme</v>
          </cell>
        </row>
        <row r="3181">
          <cell r="A3181">
            <v>60065</v>
          </cell>
          <cell r="B3181" t="str">
            <v>*Easygo Travel</v>
          </cell>
        </row>
        <row r="3182">
          <cell r="A3182">
            <v>60066</v>
          </cell>
          <cell r="B3182" t="str">
            <v>*Shopmobility</v>
          </cell>
        </row>
        <row r="3183">
          <cell r="A3183">
            <v>60067</v>
          </cell>
          <cell r="B3183" t="str">
            <v>*Stockport Day Centr</v>
          </cell>
        </row>
        <row r="3184">
          <cell r="A3184">
            <v>60068</v>
          </cell>
          <cell r="B3184" t="str">
            <v>*SYNERGY</v>
          </cell>
        </row>
        <row r="3185">
          <cell r="A3185">
            <v>60069</v>
          </cell>
          <cell r="B3185" t="str">
            <v>Anchorpoint</v>
          </cell>
        </row>
        <row r="3186">
          <cell r="A3186">
            <v>60070</v>
          </cell>
          <cell r="B3186" t="str">
            <v>*Norwood</v>
          </cell>
        </row>
        <row r="3187">
          <cell r="A3187">
            <v>60071</v>
          </cell>
          <cell r="B3187" t="str">
            <v>*H3</v>
          </cell>
        </row>
        <row r="3188">
          <cell r="A3188">
            <v>60100</v>
          </cell>
          <cell r="B3188" t="str">
            <v>*N Cheshire Jewish</v>
          </cell>
        </row>
        <row r="3189">
          <cell r="A3189">
            <v>60101</v>
          </cell>
          <cell r="B3189" t="str">
            <v>*All Saints (Marple)</v>
          </cell>
        </row>
        <row r="3190">
          <cell r="A3190">
            <v>60102</v>
          </cell>
          <cell r="B3190" t="str">
            <v>*Brookside</v>
          </cell>
        </row>
        <row r="3191">
          <cell r="A3191">
            <v>60103</v>
          </cell>
          <cell r="B3191" t="str">
            <v>*Great Moor</v>
          </cell>
        </row>
        <row r="3192">
          <cell r="A3192">
            <v>60104</v>
          </cell>
          <cell r="B3192" t="str">
            <v>*Greave</v>
          </cell>
        </row>
        <row r="3193">
          <cell r="A3193">
            <v>60105</v>
          </cell>
          <cell r="B3193" t="str">
            <v>*Mellor</v>
          </cell>
        </row>
        <row r="3194">
          <cell r="A3194">
            <v>60106</v>
          </cell>
          <cell r="B3194" t="str">
            <v>*Moss Hey</v>
          </cell>
        </row>
        <row r="3195">
          <cell r="A3195">
            <v>60107</v>
          </cell>
          <cell r="B3195" t="str">
            <v>*Outwood</v>
          </cell>
        </row>
        <row r="3196">
          <cell r="A3196">
            <v>60108</v>
          </cell>
          <cell r="B3196" t="str">
            <v>*Rose Hill</v>
          </cell>
        </row>
        <row r="3197">
          <cell r="A3197">
            <v>60109</v>
          </cell>
          <cell r="B3197" t="str">
            <v>*Greave2</v>
          </cell>
        </row>
        <row r="3198">
          <cell r="A3198">
            <v>60110</v>
          </cell>
          <cell r="B3198" t="str">
            <v>*St Marys Catholic</v>
          </cell>
        </row>
        <row r="3199">
          <cell r="A3199">
            <v>60111</v>
          </cell>
          <cell r="B3199" t="str">
            <v>*Queens Road</v>
          </cell>
        </row>
        <row r="3200">
          <cell r="A3200">
            <v>60112</v>
          </cell>
          <cell r="B3200" t="str">
            <v>*St John's</v>
          </cell>
        </row>
        <row r="3201">
          <cell r="A3201">
            <v>60113</v>
          </cell>
          <cell r="B3201" t="str">
            <v>*Vernon Park</v>
          </cell>
        </row>
        <row r="3202">
          <cell r="A3202">
            <v>60114</v>
          </cell>
          <cell r="B3202" t="str">
            <v>*Reddish Vale OOS</v>
          </cell>
        </row>
        <row r="3203">
          <cell r="A3203">
            <v>60115</v>
          </cell>
          <cell r="B3203" t="str">
            <v>*Wellspring Pay</v>
          </cell>
        </row>
        <row r="3204">
          <cell r="A3204">
            <v>60116</v>
          </cell>
          <cell r="B3204" t="str">
            <v>*Stockport Homes (Py</v>
          </cell>
        </row>
        <row r="3205">
          <cell r="A3205">
            <v>60117</v>
          </cell>
          <cell r="B3205" t="str">
            <v>*Offerton Parish Pay</v>
          </cell>
        </row>
        <row r="3206">
          <cell r="A3206">
            <v>60118</v>
          </cell>
          <cell r="B3206" t="str">
            <v>*Nicholson OOS</v>
          </cell>
        </row>
        <row r="3207">
          <cell r="A3207">
            <v>60119</v>
          </cell>
          <cell r="B3207" t="str">
            <v>*Non SMBC Pay</v>
          </cell>
        </row>
        <row r="3208">
          <cell r="A3208">
            <v>60120</v>
          </cell>
          <cell r="B3208" t="str">
            <v>*All Saints (Stockpt</v>
          </cell>
        </row>
        <row r="3209">
          <cell r="A3209">
            <v>99901</v>
          </cell>
          <cell r="B3209" t="str">
            <v>EED-Migration Dump</v>
          </cell>
        </row>
        <row r="3210">
          <cell r="A3210">
            <v>99902</v>
          </cell>
          <cell r="B3210" t="str">
            <v>*TC-CYP-Mig Dump</v>
          </cell>
        </row>
        <row r="3211">
          <cell r="A3211">
            <v>99903</v>
          </cell>
          <cell r="B3211" t="str">
            <v>*AC-Migration Dump</v>
          </cell>
        </row>
        <row r="3212">
          <cell r="A3212">
            <v>99904</v>
          </cell>
          <cell r="B3212" t="str">
            <v>*CE-Migration Dump</v>
          </cell>
        </row>
        <row r="3213">
          <cell r="A3213">
            <v>99905</v>
          </cell>
          <cell r="B3213" t="str">
            <v>BS-Migration Dump</v>
          </cell>
        </row>
        <row r="3214">
          <cell r="A3214">
            <v>99906</v>
          </cell>
          <cell r="B3214" t="str">
            <v>HRA-Migration Dump</v>
          </cell>
        </row>
        <row r="3215">
          <cell r="A3215">
            <v>99908</v>
          </cell>
          <cell r="B3215" t="str">
            <v>SDS-Migration Dump.</v>
          </cell>
        </row>
        <row r="3216">
          <cell r="A3216">
            <v>99995</v>
          </cell>
          <cell r="B3216" t="str">
            <v>Rejected invoices</v>
          </cell>
        </row>
        <row r="3217">
          <cell r="A3217">
            <v>99997</v>
          </cell>
          <cell r="B3217" t="str">
            <v>Dummy for PECOS</v>
          </cell>
        </row>
        <row r="3218">
          <cell r="A3218">
            <v>99999</v>
          </cell>
          <cell r="B3218" t="str">
            <v>Capital Projects</v>
          </cell>
        </row>
        <row r="3219">
          <cell r="A3219">
            <v>13126</v>
          </cell>
          <cell r="B3219" t="str">
            <v>Health DPs</v>
          </cell>
        </row>
        <row r="3220">
          <cell r="A3220">
            <v>13124</v>
          </cell>
          <cell r="B3220" t="str">
            <v>Leisure Level Up Fun</v>
          </cell>
        </row>
        <row r="3221">
          <cell r="A3221">
            <v>13127</v>
          </cell>
          <cell r="B3221" t="str">
            <v>Rapid Testing 3</v>
          </cell>
        </row>
        <row r="3222">
          <cell r="A3222">
            <v>13128</v>
          </cell>
          <cell r="B3222" t="str">
            <v>Infection Control T4</v>
          </cell>
        </row>
        <row r="3223">
          <cell r="A3223">
            <v>13123</v>
          </cell>
          <cell r="B3223" t="str">
            <v>LD Transitions Team</v>
          </cell>
        </row>
        <row r="3224">
          <cell r="A3224">
            <v>13146</v>
          </cell>
          <cell r="B3224" t="str">
            <v>Edgeley Client Spend</v>
          </cell>
        </row>
        <row r="3225">
          <cell r="A3225">
            <v>13143</v>
          </cell>
          <cell r="B3225" t="str">
            <v>H&amp;R Client Spend</v>
          </cell>
        </row>
        <row r="3226">
          <cell r="A3226">
            <v>13147</v>
          </cell>
          <cell r="B3226" t="str">
            <v>GO/HG Client spend</v>
          </cell>
        </row>
        <row r="3227">
          <cell r="A3227">
            <v>13148</v>
          </cell>
          <cell r="B3227" t="str">
            <v>One Stockport Hub</v>
          </cell>
        </row>
        <row r="3228">
          <cell r="A3228">
            <v>13150</v>
          </cell>
          <cell r="B3228" t="str">
            <v>Enhn Lcl Welf Assis</v>
          </cell>
        </row>
        <row r="3229">
          <cell r="A3229">
            <v>13154</v>
          </cell>
          <cell r="B3229" t="str">
            <v>H'sehold S'port Fund</v>
          </cell>
        </row>
        <row r="3230">
          <cell r="A3230">
            <v>13141</v>
          </cell>
          <cell r="B3230" t="str">
            <v>W&amp;B Client spend</v>
          </cell>
        </row>
        <row r="3231">
          <cell r="A3231">
            <v>13144</v>
          </cell>
          <cell r="B3231" t="str">
            <v>Bramhall ClientSpend</v>
          </cell>
        </row>
        <row r="3232">
          <cell r="A3232">
            <v>13142</v>
          </cell>
          <cell r="B3232" t="str">
            <v>Marple Client spend</v>
          </cell>
        </row>
        <row r="3233">
          <cell r="A3233">
            <v>13122</v>
          </cell>
          <cell r="B3233" t="str">
            <v>Front Line AMHPs</v>
          </cell>
        </row>
        <row r="3234">
          <cell r="A3234">
            <v>13129</v>
          </cell>
          <cell r="B3234" t="str">
            <v>WB  SW Team 1</v>
          </cell>
        </row>
        <row r="3235">
          <cell r="A3235">
            <v>13155</v>
          </cell>
          <cell r="B3235" t="str">
            <v>Vaccines Fund</v>
          </cell>
        </row>
        <row r="3236">
          <cell r="A3236">
            <v>13157</v>
          </cell>
          <cell r="B3236" t="str">
            <v>Infection Control T5</v>
          </cell>
        </row>
        <row r="3237">
          <cell r="A3237">
            <v>13158</v>
          </cell>
          <cell r="B3237" t="str">
            <v>Rapid Testing 4</v>
          </cell>
        </row>
        <row r="3238">
          <cell r="A3238">
            <v>13145</v>
          </cell>
          <cell r="B3238" t="str">
            <v>Cheadle Client Spend</v>
          </cell>
        </row>
        <row r="3239">
          <cell r="A3239">
            <v>13149</v>
          </cell>
          <cell r="B3239" t="str">
            <v>Afghan Evacuee Costs</v>
          </cell>
        </row>
        <row r="3240">
          <cell r="A3240">
            <v>13156</v>
          </cell>
          <cell r="B3240" t="str">
            <v>Workforce Grant 2</v>
          </cell>
        </row>
        <row r="3241">
          <cell r="A3241">
            <v>13160</v>
          </cell>
          <cell r="B3241" t="str">
            <v>C19 W'ter 21_22 Supt</v>
          </cell>
        </row>
        <row r="3242">
          <cell r="A3242">
            <v>13134</v>
          </cell>
          <cell r="B3242" t="str">
            <v>Bramhall SW Team 1</v>
          </cell>
        </row>
        <row r="3243">
          <cell r="A3243">
            <v>13139</v>
          </cell>
          <cell r="B3243" t="str">
            <v>GO/HG SW Team 2</v>
          </cell>
        </row>
        <row r="3244">
          <cell r="A3244">
            <v>13153</v>
          </cell>
          <cell r="B3244" t="str">
            <v>KickStart Programme</v>
          </cell>
        </row>
        <row r="3245">
          <cell r="A3245">
            <v>13161</v>
          </cell>
          <cell r="B3245" t="str">
            <v>Workforce Grant 3</v>
          </cell>
        </row>
        <row r="3246">
          <cell r="A3246">
            <v>13163</v>
          </cell>
          <cell r="B3246" t="str">
            <v>Omicron SF</v>
          </cell>
        </row>
        <row r="3247">
          <cell r="A3247">
            <v>13138</v>
          </cell>
          <cell r="B3247" t="str">
            <v>GO/HG SW Team 1</v>
          </cell>
        </row>
        <row r="3248">
          <cell r="A3248">
            <v>13178</v>
          </cell>
          <cell r="B3248" t="str">
            <v>Carers Support Serv</v>
          </cell>
        </row>
        <row r="3249">
          <cell r="A3249">
            <v>13183</v>
          </cell>
          <cell r="B3249" t="str">
            <v>Homes for Ukraine</v>
          </cell>
        </row>
        <row r="3250">
          <cell r="A3250">
            <v>13177</v>
          </cell>
          <cell r="B3250" t="str">
            <v>Transport Support</v>
          </cell>
        </row>
        <row r="3251">
          <cell r="A3251">
            <v>13171</v>
          </cell>
          <cell r="B3251" t="str">
            <v>Energy Bills Support</v>
          </cell>
        </row>
        <row r="3252">
          <cell r="A3252">
            <v>13173</v>
          </cell>
          <cell r="B3252" t="str">
            <v>Healthwatch</v>
          </cell>
        </row>
        <row r="3253">
          <cell r="A3253">
            <v>13175</v>
          </cell>
          <cell r="B3253" t="str">
            <v>Community Support</v>
          </cell>
        </row>
        <row r="3254">
          <cell r="A3254">
            <v>13176</v>
          </cell>
          <cell r="B3254" t="str">
            <v>Home Support</v>
          </cell>
        </row>
        <row r="3255">
          <cell r="A3255">
            <v>13179</v>
          </cell>
          <cell r="B3255" t="str">
            <v>Network Management</v>
          </cell>
        </row>
        <row r="3256">
          <cell r="A3256">
            <v>13165</v>
          </cell>
          <cell r="B3256" t="str">
            <v>Infrastructure Manag</v>
          </cell>
        </row>
        <row r="3257">
          <cell r="A3257">
            <v>13170</v>
          </cell>
          <cell r="B3257" t="str">
            <v>Sport Events &amp; Proje</v>
          </cell>
        </row>
        <row r="3258">
          <cell r="A3258">
            <v>13130</v>
          </cell>
          <cell r="B3258" t="str">
            <v>WB SW Team 2</v>
          </cell>
        </row>
        <row r="3259">
          <cell r="A3259">
            <v>13132</v>
          </cell>
          <cell r="B3259" t="str">
            <v>HR SW Team 1</v>
          </cell>
        </row>
        <row r="3260">
          <cell r="A3260">
            <v>13133</v>
          </cell>
          <cell r="B3260" t="str">
            <v>HR SW Team 2</v>
          </cell>
        </row>
        <row r="3261">
          <cell r="A3261">
            <v>13135</v>
          </cell>
          <cell r="B3261" t="str">
            <v>Cheadle SW Team 1</v>
          </cell>
        </row>
        <row r="3262">
          <cell r="A3262">
            <v>13137</v>
          </cell>
          <cell r="B3262" t="str">
            <v>Edgeley SW Team 2</v>
          </cell>
        </row>
        <row r="3263">
          <cell r="A3263">
            <v>13174</v>
          </cell>
          <cell r="B3263" t="str">
            <v>Your Support</v>
          </cell>
        </row>
        <row r="3264">
          <cell r="A3264">
            <v>13180</v>
          </cell>
          <cell r="B3264" t="str">
            <v>Working Age Social</v>
          </cell>
        </row>
        <row r="3265">
          <cell r="A3265">
            <v>13182</v>
          </cell>
          <cell r="B3265" t="str">
            <v>AMHP Service</v>
          </cell>
        </row>
        <row r="3266">
          <cell r="A3266">
            <v>13193</v>
          </cell>
          <cell r="B3266" t="str">
            <v>GM House Project</v>
          </cell>
        </row>
        <row r="3267">
          <cell r="A3267">
            <v>13186</v>
          </cell>
          <cell r="B3267" t="str">
            <v>One Stockport</v>
          </cell>
        </row>
        <row r="3268">
          <cell r="A3268">
            <v>13136</v>
          </cell>
          <cell r="B3268" t="str">
            <v>Edgeley SW Team 1</v>
          </cell>
        </row>
        <row r="3269">
          <cell r="A3269">
            <v>13181</v>
          </cell>
          <cell r="B3269" t="str">
            <v>MH Support Worker</v>
          </cell>
        </row>
        <row r="3270">
          <cell r="A3270">
            <v>13191</v>
          </cell>
          <cell r="B3270" t="str">
            <v>Staying Close</v>
          </cell>
        </row>
        <row r="3271">
          <cell r="A3271">
            <v>13196</v>
          </cell>
          <cell r="B3271" t="str">
            <v>OT Shared Lives</v>
          </cell>
        </row>
        <row r="3272">
          <cell r="A3272">
            <v>13188</v>
          </cell>
          <cell r="B3272" t="str">
            <v>Family Hubs</v>
          </cell>
        </row>
        <row r="3273">
          <cell r="A3273">
            <v>13204</v>
          </cell>
          <cell r="B3273" t="str">
            <v>Support Funds</v>
          </cell>
        </row>
        <row r="3274">
          <cell r="A3274">
            <v>13187</v>
          </cell>
          <cell r="B3274" t="str">
            <v>CDF Workspace Proj</v>
          </cell>
        </row>
        <row r="3275">
          <cell r="A3275">
            <v>13194</v>
          </cell>
          <cell r="B3275" t="str">
            <v>Safer Streets</v>
          </cell>
        </row>
        <row r="3276">
          <cell r="A3276">
            <v>13198</v>
          </cell>
          <cell r="B3276" t="str">
            <v>MDC Mayoral Dev Co</v>
          </cell>
        </row>
        <row r="3277">
          <cell r="A3277">
            <v>13197</v>
          </cell>
          <cell r="B3277" t="str">
            <v>Forest School</v>
          </cell>
        </row>
        <row r="3278">
          <cell r="A3278">
            <v>13202</v>
          </cell>
          <cell r="B3278" t="str">
            <v>Turnaround Programme</v>
          </cell>
        </row>
        <row r="3279">
          <cell r="A3279">
            <v>13205</v>
          </cell>
          <cell r="B3279" t="str">
            <v>BEIS EBSS (Alt F)</v>
          </cell>
        </row>
        <row r="3280">
          <cell r="A3280">
            <v>13131</v>
          </cell>
          <cell r="B3280" t="str">
            <v>Marple SW Team 1</v>
          </cell>
        </row>
        <row r="3281">
          <cell r="A3281">
            <v>13207</v>
          </cell>
          <cell r="B3281" t="str">
            <v>SHIP (Supp Housing)</v>
          </cell>
        </row>
        <row r="3282">
          <cell r="A3282">
            <v>13209</v>
          </cell>
          <cell r="B3282" t="str">
            <v>Merseyway Inv Centre</v>
          </cell>
        </row>
        <row r="3283">
          <cell r="A3283">
            <v>13218</v>
          </cell>
          <cell r="B3283" t="str">
            <v>Afghan Evac Move on</v>
          </cell>
        </row>
        <row r="3284">
          <cell r="A3284">
            <v>13168</v>
          </cell>
          <cell r="B3284" t="str">
            <v>Digital projects</v>
          </cell>
        </row>
        <row r="3285">
          <cell r="A3285">
            <v>13212</v>
          </cell>
          <cell r="B3285" t="str">
            <v>Heat Network Project</v>
          </cell>
        </row>
        <row r="3286">
          <cell r="A3286">
            <v>13213</v>
          </cell>
          <cell r="B3286" t="str">
            <v>Town of Culture</v>
          </cell>
        </row>
        <row r="3287">
          <cell r="A3287">
            <v>13217</v>
          </cell>
          <cell r="B3287" t="str">
            <v>NW Dev COE Grant</v>
          </cell>
        </row>
        <row r="3288">
          <cell r="A3288">
            <v>13211</v>
          </cell>
          <cell r="B3288" t="str">
            <v>DBV Program</v>
          </cell>
        </row>
        <row r="3289">
          <cell r="A3289">
            <v>13162</v>
          </cell>
          <cell r="B3289" t="str">
            <v>DFE Recovery Fund</v>
          </cell>
        </row>
        <row r="3290">
          <cell r="A3290">
            <v>13190</v>
          </cell>
          <cell r="B3290" t="str">
            <v>RIA SEND</v>
          </cell>
        </row>
        <row r="3291">
          <cell r="A3291">
            <v>13159</v>
          </cell>
          <cell r="B3291" t="str">
            <v>Education Welfare</v>
          </cell>
        </row>
        <row r="3292">
          <cell r="A3292">
            <v>13206</v>
          </cell>
          <cell r="B3292" t="str">
            <v>Work Shop</v>
          </cell>
        </row>
        <row r="3293">
          <cell r="A3293">
            <v>13203</v>
          </cell>
          <cell r="B3293" t="str">
            <v>Stockroom</v>
          </cell>
        </row>
        <row r="3294">
          <cell r="A3294">
            <v>13166</v>
          </cell>
          <cell r="B3294" t="str">
            <v>Alleviating barriers</v>
          </cell>
        </row>
        <row r="3295">
          <cell r="A3295">
            <v>13189</v>
          </cell>
          <cell r="B3295" t="str">
            <v>NW Sufficiency</v>
          </cell>
        </row>
        <row r="3296">
          <cell r="A3296">
            <v>13195</v>
          </cell>
          <cell r="B3296" t="str">
            <v>SEN Specialist team</v>
          </cell>
        </row>
        <row r="3297">
          <cell r="A3297">
            <v>13210</v>
          </cell>
          <cell r="B3297" t="str">
            <v>UKSPF</v>
          </cell>
        </row>
        <row r="3298">
          <cell r="A3298">
            <v>13222</v>
          </cell>
          <cell r="B3298" t="str">
            <v>SE MSCP 2</v>
          </cell>
        </row>
        <row r="3299">
          <cell r="A3299">
            <v>13208</v>
          </cell>
          <cell r="B3299" t="str">
            <v>POD Intern Prog</v>
          </cell>
        </row>
        <row r="3300">
          <cell r="A3300">
            <v>13226</v>
          </cell>
          <cell r="B3300" t="str">
            <v>UECSF</v>
          </cell>
        </row>
        <row r="3301">
          <cell r="A3301">
            <v>13225</v>
          </cell>
          <cell r="B3301" t="str">
            <v>StockExc P4 - Office</v>
          </cell>
        </row>
        <row r="3302">
          <cell r="A3302">
            <v>13152</v>
          </cell>
          <cell r="B3302" t="str">
            <v>MDC Assets</v>
          </cell>
        </row>
        <row r="3303">
          <cell r="A3303">
            <v>13234</v>
          </cell>
          <cell r="B3303" t="str">
            <v>Museums Learning</v>
          </cell>
        </row>
        <row r="3304">
          <cell r="A3304">
            <v>13216</v>
          </cell>
          <cell r="B3304" t="str">
            <v>Stopford H Reception</v>
          </cell>
        </row>
        <row r="3305">
          <cell r="A3305">
            <v>13236</v>
          </cell>
          <cell r="B3305" t="str">
            <v>Supporting People</v>
          </cell>
        </row>
        <row r="3306">
          <cell r="A3306">
            <v>13239</v>
          </cell>
          <cell r="B3306" t="str">
            <v>HSF 5</v>
          </cell>
        </row>
        <row r="3307">
          <cell r="A3307">
            <v>13224</v>
          </cell>
          <cell r="B3307" t="str">
            <v>The Crescent Ch Home</v>
          </cell>
        </row>
        <row r="3308">
          <cell r="A3308">
            <v>13231</v>
          </cell>
          <cell r="B3308" t="str">
            <v>ARCH Spot Purchases</v>
          </cell>
        </row>
        <row r="3309">
          <cell r="A3309">
            <v>13227</v>
          </cell>
          <cell r="B3309" t="str">
            <v>Eco Client Mat Reloc</v>
          </cell>
        </row>
        <row r="3310">
          <cell r="A3310">
            <v>13246</v>
          </cell>
          <cell r="B3310" t="str">
            <v>Team Management East</v>
          </cell>
        </row>
        <row r="3311">
          <cell r="A3311">
            <v>13243</v>
          </cell>
          <cell r="B3311" t="str">
            <v>Specialist North Com</v>
          </cell>
        </row>
        <row r="3312">
          <cell r="A3312">
            <v>13249</v>
          </cell>
          <cell r="B3312" t="str">
            <v>Team Management West</v>
          </cell>
        </row>
        <row r="3313">
          <cell r="A3313">
            <v>13250</v>
          </cell>
          <cell r="B3313" t="str">
            <v>Specialist West Comm</v>
          </cell>
        </row>
        <row r="3314">
          <cell r="A3314">
            <v>13253</v>
          </cell>
          <cell r="B3314" t="str">
            <v>Specialist South Com</v>
          </cell>
        </row>
      </sheetData>
      <sheetData sheetId="1">
        <row r="1">
          <cell r="A1" t="str">
            <v>WBS Element</v>
          </cell>
        </row>
      </sheetData>
      <sheetData sheetId="2" refreshError="1"/>
      <sheetData sheetId="3">
        <row r="3">
          <cell r="A3" t="str">
            <v>GL_Code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19"/>
  <sheetViews>
    <sheetView tabSelected="1" workbookViewId="0"/>
  </sheetViews>
  <sheetFormatPr defaultColWidth="9.140625" defaultRowHeight="15" x14ac:dyDescent="0.25"/>
  <cols>
    <col min="1" max="1" width="17.85546875" style="4" bestFit="1" customWidth="1"/>
    <col min="2" max="2" width="20.140625" style="4" bestFit="1" customWidth="1"/>
    <col min="3" max="3" width="14.5703125" style="4" bestFit="1" customWidth="1"/>
    <col min="4" max="4" width="13" style="4" bestFit="1" customWidth="1"/>
    <col min="5" max="5" width="37.42578125" style="4" bestFit="1" customWidth="1"/>
    <col min="6" max="6" width="11.140625" style="4" bestFit="1" customWidth="1"/>
    <col min="7" max="7" width="60.85546875" style="4" bestFit="1" customWidth="1"/>
    <col min="8" max="8" width="53.140625" style="4" bestFit="1" customWidth="1"/>
    <col min="9" max="9" width="45.140625" style="4" bestFit="1" customWidth="1"/>
    <col min="10" max="10" width="32" style="4" bestFit="1" customWidth="1"/>
    <col min="11" max="11" width="58" style="8" bestFit="1" customWidth="1"/>
    <col min="12" max="12" width="10.5703125" style="4" bestFit="1" customWidth="1"/>
    <col min="13" max="13" width="18.7109375" style="4" bestFit="1" customWidth="1"/>
    <col min="14" max="16384" width="9.140625" style="4"/>
  </cols>
  <sheetData>
    <row r="1" spans="1:13" ht="150.75" customHeight="1" thickBot="1" x14ac:dyDescent="0.3">
      <c r="A1" s="2" t="s">
        <v>687</v>
      </c>
      <c r="B1" s="1" t="s">
        <v>688</v>
      </c>
      <c r="C1" s="1" t="s">
        <v>689</v>
      </c>
      <c r="D1" s="1" t="s">
        <v>690</v>
      </c>
      <c r="E1" s="1" t="s">
        <v>691</v>
      </c>
      <c r="F1" s="1" t="s">
        <v>692</v>
      </c>
      <c r="G1" s="1" t="s">
        <v>693</v>
      </c>
      <c r="H1" s="1" t="s">
        <v>694</v>
      </c>
      <c r="I1" s="1" t="s">
        <v>695</v>
      </c>
      <c r="J1" s="1" t="s">
        <v>696</v>
      </c>
      <c r="K1" s="3" t="s">
        <v>697</v>
      </c>
      <c r="L1" s="1" t="s">
        <v>698</v>
      </c>
      <c r="M1" s="1" t="s">
        <v>699</v>
      </c>
    </row>
    <row r="2" spans="1:13" ht="15.75" x14ac:dyDescent="0.25">
      <c r="A2" s="2" t="s">
        <v>5</v>
      </c>
      <c r="B2" s="2" t="s">
        <v>18</v>
      </c>
      <c r="C2" s="2">
        <v>1</v>
      </c>
      <c r="D2" s="2">
        <v>543</v>
      </c>
      <c r="E2" s="2" t="s">
        <v>19</v>
      </c>
      <c r="F2" s="2">
        <v>171113</v>
      </c>
      <c r="G2" s="2" t="s">
        <v>700</v>
      </c>
      <c r="H2" s="2" t="s">
        <v>701</v>
      </c>
      <c r="I2" s="5" t="s">
        <v>702</v>
      </c>
      <c r="J2" s="2" t="str">
        <f>VLOOKUP(M2,[1]Directorate!$A:$B,2,FALSE)</f>
        <v>Public Libraries Gen</v>
      </c>
      <c r="K2" s="6">
        <f>ROUND(12348,2)</f>
        <v>12348</v>
      </c>
      <c r="L2" s="2">
        <v>400201</v>
      </c>
      <c r="M2" s="2">
        <v>11329</v>
      </c>
    </row>
    <row r="3" spans="1:13" ht="15.75" x14ac:dyDescent="0.25">
      <c r="A3" s="2" t="s">
        <v>5</v>
      </c>
      <c r="B3" s="2" t="s">
        <v>32</v>
      </c>
      <c r="C3" s="2">
        <v>1</v>
      </c>
      <c r="D3" s="2">
        <v>14834</v>
      </c>
      <c r="E3" s="2" t="s">
        <v>33</v>
      </c>
      <c r="F3" s="2">
        <v>390000</v>
      </c>
      <c r="G3" s="2" t="s">
        <v>703</v>
      </c>
      <c r="H3" s="2" t="s">
        <v>704</v>
      </c>
      <c r="I3" s="5" t="s">
        <v>705</v>
      </c>
      <c r="J3" s="2" t="str">
        <f>VLOOKUP(M3,[1]Directorate!$A:$B,2,FALSE)</f>
        <v>Highfields PRU</v>
      </c>
      <c r="K3" s="6">
        <f>ROUND(5131,2)</f>
        <v>5131</v>
      </c>
      <c r="L3" s="2">
        <v>200160</v>
      </c>
      <c r="M3" s="2">
        <v>10329</v>
      </c>
    </row>
    <row r="4" spans="1:13" ht="15.75" x14ac:dyDescent="0.25">
      <c r="A4" s="2" t="s">
        <v>5</v>
      </c>
      <c r="B4" s="2" t="s">
        <v>34</v>
      </c>
      <c r="C4" s="2">
        <v>1</v>
      </c>
      <c r="D4" s="2">
        <v>16322</v>
      </c>
      <c r="E4" s="2" t="s">
        <v>35</v>
      </c>
      <c r="F4" s="2">
        <v>390000</v>
      </c>
      <c r="G4" s="2" t="s">
        <v>703</v>
      </c>
      <c r="H4" s="2" t="s">
        <v>704</v>
      </c>
      <c r="I4" s="7" t="s">
        <v>702</v>
      </c>
      <c r="J4" s="2" t="e">
        <f>VLOOKUP(M4,[1]Directorate!$A:$B,2,FALSE)</f>
        <v>#N/A</v>
      </c>
      <c r="K4" s="6">
        <f>ROUND(8200,2)</f>
        <v>8200</v>
      </c>
      <c r="L4" s="2">
        <v>200123</v>
      </c>
      <c r="M4" s="2" t="s">
        <v>36</v>
      </c>
    </row>
    <row r="5" spans="1:13" ht="15.75" x14ac:dyDescent="0.25">
      <c r="A5" s="2" t="s">
        <v>5</v>
      </c>
      <c r="B5" s="2" t="s">
        <v>39</v>
      </c>
      <c r="C5" s="2">
        <v>1</v>
      </c>
      <c r="D5" s="2">
        <v>15339</v>
      </c>
      <c r="E5" s="2" t="s">
        <v>40</v>
      </c>
      <c r="F5" s="2">
        <v>390000</v>
      </c>
      <c r="G5" s="2" t="s">
        <v>703</v>
      </c>
      <c r="H5" s="2" t="s">
        <v>704</v>
      </c>
      <c r="I5" s="5" t="s">
        <v>705</v>
      </c>
      <c r="J5" s="2" t="str">
        <f>VLOOKUP(M5,[1]Directorate!$A:$B,2,FALSE)</f>
        <v>Highfields PRU</v>
      </c>
      <c r="K5" s="6">
        <f>ROUND(28905,2)</f>
        <v>28905</v>
      </c>
      <c r="L5" s="2">
        <v>200123</v>
      </c>
      <c r="M5" s="2">
        <v>10329</v>
      </c>
    </row>
    <row r="6" spans="1:13" ht="15.75" x14ac:dyDescent="0.25">
      <c r="A6" s="2" t="s">
        <v>5</v>
      </c>
      <c r="B6" s="2" t="s">
        <v>42</v>
      </c>
      <c r="C6" s="2">
        <v>1</v>
      </c>
      <c r="D6" s="2">
        <v>6190</v>
      </c>
      <c r="E6" s="2" t="s">
        <v>43</v>
      </c>
      <c r="F6" s="2">
        <v>181800</v>
      </c>
      <c r="G6" s="2" t="s">
        <v>706</v>
      </c>
      <c r="H6" s="2" t="s">
        <v>707</v>
      </c>
      <c r="I6" s="5" t="s">
        <v>705</v>
      </c>
      <c r="J6" s="2" t="str">
        <f>VLOOKUP(M6,[1]Directorate!$A:$B,2,FALSE)</f>
        <v>Highfields PRU</v>
      </c>
      <c r="K6" s="6">
        <f>ROUND(7175,2)</f>
        <v>7175</v>
      </c>
      <c r="L6" s="2">
        <v>400110</v>
      </c>
      <c r="M6" s="2">
        <v>10329</v>
      </c>
    </row>
    <row r="7" spans="1:13" ht="15.75" x14ac:dyDescent="0.25">
      <c r="A7" s="2" t="s">
        <v>5</v>
      </c>
      <c r="B7" s="2" t="s">
        <v>44</v>
      </c>
      <c r="C7" s="2">
        <v>1</v>
      </c>
      <c r="D7" s="2">
        <v>2398</v>
      </c>
      <c r="E7" s="2" t="s">
        <v>45</v>
      </c>
      <c r="F7" s="2">
        <v>210000</v>
      </c>
      <c r="G7" s="2" t="s">
        <v>708</v>
      </c>
      <c r="H7" s="2" t="s">
        <v>707</v>
      </c>
      <c r="I7" s="7" t="s">
        <v>702</v>
      </c>
      <c r="J7" s="2" t="e">
        <f>VLOOKUP(M7,[1]Directorate!$A:$B,2,FALSE)</f>
        <v>#N/A</v>
      </c>
      <c r="K7" s="6">
        <f>ROUND(12895,2)</f>
        <v>12895</v>
      </c>
      <c r="L7" s="2">
        <v>400105</v>
      </c>
      <c r="M7" s="2" t="s">
        <v>46</v>
      </c>
    </row>
    <row r="8" spans="1:13" ht="15.75" x14ac:dyDescent="0.25">
      <c r="A8" s="2" t="s">
        <v>5</v>
      </c>
      <c r="B8" s="2" t="s">
        <v>48</v>
      </c>
      <c r="C8" s="2">
        <v>1</v>
      </c>
      <c r="D8" s="2">
        <v>3290</v>
      </c>
      <c r="E8" s="2" t="s">
        <v>49</v>
      </c>
      <c r="F8" s="2">
        <v>300000</v>
      </c>
      <c r="G8" s="2" t="s">
        <v>709</v>
      </c>
      <c r="H8" s="2" t="s">
        <v>710</v>
      </c>
      <c r="I8" s="5" t="s">
        <v>702</v>
      </c>
      <c r="J8" s="2" t="str">
        <f>VLOOKUP(M8,[1]Directorate!$A:$B,2,FALSE)</f>
        <v>Parliment&amp;O Election</v>
      </c>
      <c r="K8" s="6">
        <f>ROUND(32978.37,2)</f>
        <v>32978.370000000003</v>
      </c>
      <c r="L8" s="2">
        <v>400711</v>
      </c>
      <c r="M8" s="2">
        <v>12103</v>
      </c>
    </row>
    <row r="9" spans="1:13" ht="15.75" x14ac:dyDescent="0.25">
      <c r="A9" s="2" t="s">
        <v>5</v>
      </c>
      <c r="B9" s="2" t="s">
        <v>50</v>
      </c>
      <c r="C9" s="2">
        <v>1</v>
      </c>
      <c r="D9" s="2">
        <v>3529</v>
      </c>
      <c r="E9" s="2" t="s">
        <v>20</v>
      </c>
      <c r="F9" s="2">
        <v>240000</v>
      </c>
      <c r="G9" s="2" t="s">
        <v>711</v>
      </c>
      <c r="H9" s="2" t="s">
        <v>712</v>
      </c>
      <c r="I9" s="5" t="s">
        <v>705</v>
      </c>
      <c r="J9" s="2" t="str">
        <f>VLOOKUP(M9,[1]Directorate!$A:$B,2,FALSE)</f>
        <v>Schools Contingency</v>
      </c>
      <c r="K9" s="6">
        <f>ROUND(19728.16,2)</f>
        <v>19728.16</v>
      </c>
      <c r="L9" s="2">
        <v>202030</v>
      </c>
      <c r="M9" s="2">
        <v>10437</v>
      </c>
    </row>
    <row r="10" spans="1:13" ht="15.75" x14ac:dyDescent="0.25">
      <c r="A10" s="2" t="s">
        <v>3</v>
      </c>
      <c r="B10" s="2" t="s">
        <v>8</v>
      </c>
      <c r="C10" s="2">
        <v>1</v>
      </c>
      <c r="D10" s="2">
        <v>6165</v>
      </c>
      <c r="E10" s="2" t="s">
        <v>7</v>
      </c>
      <c r="F10" s="2">
        <v>181800</v>
      </c>
      <c r="G10" s="2" t="s">
        <v>706</v>
      </c>
      <c r="H10" s="2" t="s">
        <v>707</v>
      </c>
      <c r="I10" s="5" t="s">
        <v>705</v>
      </c>
      <c r="J10" s="2" t="str">
        <f>VLOOKUP(M10,[1]Directorate!$A:$B,2,FALSE)</f>
        <v>SEN Equipment</v>
      </c>
      <c r="K10" s="6">
        <f>ROUND(5273.7,2)</f>
        <v>5273.7</v>
      </c>
      <c r="L10" s="2">
        <v>400110</v>
      </c>
      <c r="M10" s="2">
        <v>10324</v>
      </c>
    </row>
    <row r="11" spans="1:13" ht="15.75" x14ac:dyDescent="0.25">
      <c r="A11" s="2" t="s">
        <v>3</v>
      </c>
      <c r="B11" s="2" t="s">
        <v>10</v>
      </c>
      <c r="C11" s="2">
        <v>1</v>
      </c>
      <c r="D11" s="2">
        <v>6748</v>
      </c>
      <c r="E11" s="2" t="s">
        <v>11</v>
      </c>
      <c r="F11" s="2">
        <v>390000</v>
      </c>
      <c r="G11" s="2" t="s">
        <v>713</v>
      </c>
      <c r="H11" s="2" t="s">
        <v>713</v>
      </c>
      <c r="I11" s="7" t="s">
        <v>714</v>
      </c>
      <c r="J11" s="2" t="e">
        <f>VLOOKUP(M11,[1]Directorate!$A:$B,2,FALSE)</f>
        <v>#N/A</v>
      </c>
      <c r="K11" s="6">
        <f>ROUND(12614.74,2)</f>
        <v>12614.74</v>
      </c>
      <c r="L11" s="2">
        <v>401600</v>
      </c>
      <c r="M11" s="2" t="s">
        <v>12</v>
      </c>
    </row>
    <row r="12" spans="1:13" ht="15.75" x14ac:dyDescent="0.25">
      <c r="A12" s="2" t="s">
        <v>3</v>
      </c>
      <c r="B12" s="2" t="s">
        <v>13</v>
      </c>
      <c r="C12" s="2">
        <v>1</v>
      </c>
      <c r="D12" s="2">
        <v>6870</v>
      </c>
      <c r="E12" s="2" t="s">
        <v>14</v>
      </c>
      <c r="F12" s="2">
        <v>999999</v>
      </c>
      <c r="G12" s="2" t="s">
        <v>715</v>
      </c>
      <c r="H12" s="2" t="s">
        <v>715</v>
      </c>
      <c r="I12" s="5" t="s">
        <v>705</v>
      </c>
      <c r="J12" s="2" t="str">
        <f>VLOOKUP(M12,[1]Directorate!$A:$B,2,FALSE)</f>
        <v>SEN Specific support</v>
      </c>
      <c r="K12" s="6">
        <f>ROUND(30007.5,2)</f>
        <v>30007.5</v>
      </c>
      <c r="L12" s="2">
        <v>401035</v>
      </c>
      <c r="M12" s="2">
        <v>10300</v>
      </c>
    </row>
    <row r="13" spans="1:13" ht="15.75" x14ac:dyDescent="0.25">
      <c r="A13" s="2" t="s">
        <v>3</v>
      </c>
      <c r="B13" s="2" t="s">
        <v>28</v>
      </c>
      <c r="C13" s="2">
        <v>1</v>
      </c>
      <c r="D13" s="2">
        <v>15098</v>
      </c>
      <c r="E13" s="2" t="s">
        <v>29</v>
      </c>
      <c r="F13" s="2">
        <v>150000</v>
      </c>
      <c r="G13" s="2" t="s">
        <v>716</v>
      </c>
      <c r="H13" s="2" t="s">
        <v>717</v>
      </c>
      <c r="I13" s="5" t="s">
        <v>714</v>
      </c>
      <c r="J13" s="2" t="str">
        <f>VLOOKUP(M13,[1]Directorate!$A:$B,2,FALSE)</f>
        <v>MDC Mayoral Dev Co</v>
      </c>
      <c r="K13" s="6">
        <f>ROUND(48000,2)</f>
        <v>48000</v>
      </c>
      <c r="L13" s="2">
        <v>401007</v>
      </c>
      <c r="M13" s="2">
        <v>13198</v>
      </c>
    </row>
    <row r="14" spans="1:13" ht="15.75" x14ac:dyDescent="0.25">
      <c r="A14" s="2" t="s">
        <v>3</v>
      </c>
      <c r="B14" s="2" t="s">
        <v>37</v>
      </c>
      <c r="C14" s="2">
        <v>1</v>
      </c>
      <c r="D14" s="2">
        <v>4579</v>
      </c>
      <c r="E14" s="2" t="s">
        <v>38</v>
      </c>
      <c r="F14" s="2">
        <v>261500</v>
      </c>
      <c r="G14" s="2" t="s">
        <v>718</v>
      </c>
      <c r="H14" s="2" t="s">
        <v>715</v>
      </c>
      <c r="I14" s="5" t="s">
        <v>705</v>
      </c>
      <c r="J14" s="2" t="str">
        <f>VLOOKUP(M14,[1]Directorate!$A:$B,2,FALSE)</f>
        <v>Home/Hospital Educ</v>
      </c>
      <c r="K14" s="6">
        <f>ROUND(35000,2)</f>
        <v>35000</v>
      </c>
      <c r="L14" s="2">
        <v>401024</v>
      </c>
      <c r="M14" s="2">
        <v>12708</v>
      </c>
    </row>
    <row r="15" spans="1:13" ht="15.75" x14ac:dyDescent="0.25">
      <c r="A15" s="2" t="s">
        <v>3</v>
      </c>
      <c r="B15" s="2" t="s">
        <v>51</v>
      </c>
      <c r="C15" s="2">
        <v>1</v>
      </c>
      <c r="D15" s="2">
        <v>12675</v>
      </c>
      <c r="E15" s="2" t="s">
        <v>52</v>
      </c>
      <c r="F15" s="2">
        <v>999999</v>
      </c>
      <c r="G15" s="2" t="s">
        <v>715</v>
      </c>
      <c r="H15" s="2" t="s">
        <v>715</v>
      </c>
      <c r="I15" s="5" t="s">
        <v>705</v>
      </c>
      <c r="J15" s="2" t="str">
        <f>VLOOKUP(M15,[1]Directorate!$A:$B,2,FALSE)</f>
        <v>RAA - ASF Grant</v>
      </c>
      <c r="K15" s="6">
        <f>ROUND(5000,2)</f>
        <v>5000</v>
      </c>
      <c r="L15" s="2">
        <v>401035</v>
      </c>
      <c r="M15" s="2">
        <v>12968</v>
      </c>
    </row>
    <row r="16" spans="1:13" ht="15.75" x14ac:dyDescent="0.25">
      <c r="A16" s="2" t="s">
        <v>3</v>
      </c>
      <c r="B16" s="2" t="s">
        <v>57</v>
      </c>
      <c r="C16" s="2">
        <v>1</v>
      </c>
      <c r="D16" s="2">
        <v>5131</v>
      </c>
      <c r="E16" s="2" t="s">
        <v>58</v>
      </c>
      <c r="F16" s="2">
        <v>150000</v>
      </c>
      <c r="G16" s="2" t="s">
        <v>716</v>
      </c>
      <c r="H16" s="2" t="s">
        <v>717</v>
      </c>
      <c r="I16" s="5" t="s">
        <v>714</v>
      </c>
      <c r="J16" s="2" t="str">
        <f>VLOOKUP(M16,[1]Directorate!$A:$B,2,FALSE)</f>
        <v>MDC Mayoral Dev Co</v>
      </c>
      <c r="K16" s="6">
        <f>ROUND(30000,2)</f>
        <v>30000</v>
      </c>
      <c r="L16" s="2">
        <v>401007</v>
      </c>
      <c r="M16" s="2">
        <v>13198</v>
      </c>
    </row>
    <row r="17" spans="1:13" ht="15.75" x14ac:dyDescent="0.25">
      <c r="A17" s="2" t="s">
        <v>3</v>
      </c>
      <c r="B17" s="2" t="s">
        <v>59</v>
      </c>
      <c r="C17" s="2">
        <v>1</v>
      </c>
      <c r="D17" s="2">
        <v>2978</v>
      </c>
      <c r="E17" s="2" t="s">
        <v>60</v>
      </c>
      <c r="F17" s="2">
        <v>261500</v>
      </c>
      <c r="G17" s="2" t="s">
        <v>718</v>
      </c>
      <c r="H17" s="2" t="s">
        <v>715</v>
      </c>
      <c r="I17" s="5" t="s">
        <v>705</v>
      </c>
      <c r="J17" s="2" t="str">
        <f>VLOOKUP(M17,[1]Directorate!$A:$B,2,FALSE)</f>
        <v>Home/Hospital Educ</v>
      </c>
      <c r="K17" s="6">
        <f>ROUND(110000,2)</f>
        <v>110000</v>
      </c>
      <c r="L17" s="2">
        <v>401024</v>
      </c>
      <c r="M17" s="2">
        <v>12708</v>
      </c>
    </row>
    <row r="18" spans="1:13" ht="15.75" x14ac:dyDescent="0.25">
      <c r="A18" s="2" t="s">
        <v>3</v>
      </c>
      <c r="B18" s="2" t="s">
        <v>61</v>
      </c>
      <c r="C18" s="2">
        <v>1</v>
      </c>
      <c r="D18" s="2">
        <v>2978</v>
      </c>
      <c r="E18" s="2" t="s">
        <v>60</v>
      </c>
      <c r="F18" s="2">
        <v>261500</v>
      </c>
      <c r="G18" s="2" t="s">
        <v>718</v>
      </c>
      <c r="H18" s="2" t="s">
        <v>715</v>
      </c>
      <c r="I18" s="5" t="s">
        <v>705</v>
      </c>
      <c r="J18" s="2" t="str">
        <f>VLOOKUP(M18,[1]Directorate!$A:$B,2,FALSE)</f>
        <v>Home/Hospital Educ</v>
      </c>
      <c r="K18" s="6">
        <f>ROUND(45000,2)</f>
        <v>45000</v>
      </c>
      <c r="L18" s="2">
        <v>401024</v>
      </c>
      <c r="M18" s="2">
        <v>12708</v>
      </c>
    </row>
    <row r="19" spans="1:13" ht="15.75" x14ac:dyDescent="0.25">
      <c r="A19" s="2" t="s">
        <v>3</v>
      </c>
      <c r="B19" s="2" t="s">
        <v>64</v>
      </c>
      <c r="C19" s="2">
        <v>1</v>
      </c>
      <c r="D19" s="2">
        <v>5131</v>
      </c>
      <c r="E19" s="2" t="s">
        <v>58</v>
      </c>
      <c r="F19" s="2">
        <v>150000</v>
      </c>
      <c r="G19" s="2" t="s">
        <v>716</v>
      </c>
      <c r="H19" s="2" t="s">
        <v>717</v>
      </c>
      <c r="I19" s="5" t="s">
        <v>702</v>
      </c>
      <c r="J19" s="2" t="str">
        <f>VLOOKUP(M19,[1]Directorate!$A:$B,2,FALSE)</f>
        <v>One Stockport</v>
      </c>
      <c r="K19" s="6">
        <f>ROUND(4740,2)</f>
        <v>4740</v>
      </c>
      <c r="L19" s="2">
        <v>401007</v>
      </c>
      <c r="M19" s="2">
        <v>13186</v>
      </c>
    </row>
    <row r="20" spans="1:13" ht="15.75" x14ac:dyDescent="0.25">
      <c r="A20" s="2" t="s">
        <v>3</v>
      </c>
      <c r="B20" s="2" t="s">
        <v>64</v>
      </c>
      <c r="C20" s="2">
        <v>2</v>
      </c>
      <c r="D20" s="2">
        <v>5131</v>
      </c>
      <c r="E20" s="2" t="s">
        <v>58</v>
      </c>
      <c r="F20" s="2">
        <v>150000</v>
      </c>
      <c r="G20" s="2" t="s">
        <v>716</v>
      </c>
      <c r="H20" s="2" t="s">
        <v>717</v>
      </c>
      <c r="I20" s="5" t="s">
        <v>702</v>
      </c>
      <c r="J20" s="2" t="str">
        <f>VLOOKUP(M20,[1]Directorate!$A:$B,2,FALSE)</f>
        <v>One Stockport</v>
      </c>
      <c r="K20" s="6">
        <f>ROUND(7570,2)</f>
        <v>7570</v>
      </c>
      <c r="L20" s="2">
        <v>401007</v>
      </c>
      <c r="M20" s="2">
        <v>13186</v>
      </c>
    </row>
    <row r="21" spans="1:13" ht="15.75" x14ac:dyDescent="0.25">
      <c r="A21" s="2" t="s">
        <v>3</v>
      </c>
      <c r="B21" s="2" t="s">
        <v>64</v>
      </c>
      <c r="C21" s="2">
        <v>3</v>
      </c>
      <c r="D21" s="2">
        <v>5131</v>
      </c>
      <c r="E21" s="2" t="s">
        <v>58</v>
      </c>
      <c r="F21" s="2">
        <v>150000</v>
      </c>
      <c r="G21" s="2" t="s">
        <v>716</v>
      </c>
      <c r="H21" s="2" t="s">
        <v>717</v>
      </c>
      <c r="I21" s="5" t="s">
        <v>702</v>
      </c>
      <c r="J21" s="2" t="str">
        <f>VLOOKUP(M21,[1]Directorate!$A:$B,2,FALSE)</f>
        <v>One Stockport</v>
      </c>
      <c r="K21" s="6">
        <f>ROUND(2480,2)</f>
        <v>2480</v>
      </c>
      <c r="L21" s="2">
        <v>401007</v>
      </c>
      <c r="M21" s="2">
        <v>13186</v>
      </c>
    </row>
    <row r="22" spans="1:13" ht="15.75" x14ac:dyDescent="0.25">
      <c r="A22" s="2" t="s">
        <v>15</v>
      </c>
      <c r="B22" s="2" t="s">
        <v>25</v>
      </c>
      <c r="C22" s="2">
        <v>1</v>
      </c>
      <c r="D22" s="2">
        <v>364</v>
      </c>
      <c r="E22" s="2" t="s">
        <v>26</v>
      </c>
      <c r="F22" s="2">
        <v>240000</v>
      </c>
      <c r="G22" s="2" t="s">
        <v>711</v>
      </c>
      <c r="H22" s="2" t="s">
        <v>712</v>
      </c>
      <c r="I22" s="5" t="s">
        <v>714</v>
      </c>
      <c r="J22" s="2" t="str">
        <f>VLOOKUP(M22,[1]Directorate!$A:$B,2,FALSE)</f>
        <v>Play</v>
      </c>
      <c r="K22" s="6">
        <f>ROUND(6214.5,2)</f>
        <v>6214.5</v>
      </c>
      <c r="L22" s="2">
        <v>202032</v>
      </c>
      <c r="M22" s="2">
        <v>11267</v>
      </c>
    </row>
    <row r="23" spans="1:13" ht="15.75" x14ac:dyDescent="0.25">
      <c r="A23" s="2" t="s">
        <v>15</v>
      </c>
      <c r="B23" s="2" t="s">
        <v>65</v>
      </c>
      <c r="C23" s="2">
        <v>1</v>
      </c>
      <c r="D23" s="2">
        <v>7861</v>
      </c>
      <c r="E23" s="2" t="s">
        <v>66</v>
      </c>
      <c r="F23" s="2">
        <v>150000</v>
      </c>
      <c r="G23" s="2" t="s">
        <v>716</v>
      </c>
      <c r="H23" s="2" t="s">
        <v>717</v>
      </c>
      <c r="I23" s="5" t="s">
        <v>702</v>
      </c>
      <c r="J23" s="2" t="str">
        <f>VLOOKUP(M23,[1]Directorate!$A:$B,2,FALSE)</f>
        <v>Info, Advice &amp; Guide</v>
      </c>
      <c r="K23" s="6">
        <f>ROUND(190000,2)</f>
        <v>190000</v>
      </c>
      <c r="L23" s="2">
        <v>401020</v>
      </c>
      <c r="M23" s="2">
        <v>13006</v>
      </c>
    </row>
    <row r="24" spans="1:13" ht="15.75" x14ac:dyDescent="0.25">
      <c r="A24" s="2" t="s">
        <v>15</v>
      </c>
      <c r="B24" s="2" t="s">
        <v>75</v>
      </c>
      <c r="C24" s="2">
        <v>1</v>
      </c>
      <c r="D24" s="2">
        <v>12956</v>
      </c>
      <c r="E24" s="2" t="s">
        <v>76</v>
      </c>
      <c r="F24" s="2">
        <v>150000</v>
      </c>
      <c r="G24" s="2" t="s">
        <v>716</v>
      </c>
      <c r="H24" s="2" t="s">
        <v>717</v>
      </c>
      <c r="I24" s="5" t="s">
        <v>702</v>
      </c>
      <c r="J24" s="2" t="str">
        <f>VLOOKUP(M24,[1]Directorate!$A:$B,2,FALSE)</f>
        <v>Legal Fees Budget</v>
      </c>
      <c r="K24" s="6">
        <f>ROUND(8375,2)</f>
        <v>8375</v>
      </c>
      <c r="L24" s="2">
        <v>401020</v>
      </c>
      <c r="M24" s="2">
        <v>12271</v>
      </c>
    </row>
    <row r="25" spans="1:13" ht="15.75" x14ac:dyDescent="0.25">
      <c r="A25" s="2" t="s">
        <v>15</v>
      </c>
      <c r="B25" s="2" t="s">
        <v>77</v>
      </c>
      <c r="C25" s="2">
        <v>1</v>
      </c>
      <c r="D25" s="2">
        <v>5555</v>
      </c>
      <c r="E25" s="2" t="s">
        <v>78</v>
      </c>
      <c r="F25" s="2">
        <v>261100</v>
      </c>
      <c r="G25" s="2" t="s">
        <v>719</v>
      </c>
      <c r="H25" s="2" t="s">
        <v>717</v>
      </c>
      <c r="I25" s="5" t="s">
        <v>705</v>
      </c>
      <c r="J25" s="2" t="str">
        <f>VLOOKUP(M25,[1]Directorate!$A:$B,2,FALSE)</f>
        <v>Incl - S.I.U - Perip</v>
      </c>
      <c r="K25" s="6">
        <f>ROUND(5058.48,2)</f>
        <v>5058.4799999999996</v>
      </c>
      <c r="L25" s="2">
        <v>401023</v>
      </c>
      <c r="M25" s="2">
        <v>10307</v>
      </c>
    </row>
    <row r="26" spans="1:13" ht="15.75" x14ac:dyDescent="0.25">
      <c r="A26" s="2" t="s">
        <v>15</v>
      </c>
      <c r="B26" s="2" t="s">
        <v>80</v>
      </c>
      <c r="C26" s="2">
        <v>1</v>
      </c>
      <c r="D26" s="2">
        <v>304</v>
      </c>
      <c r="E26" s="2" t="s">
        <v>81</v>
      </c>
      <c r="F26" s="2">
        <v>240000</v>
      </c>
      <c r="G26" s="2" t="s">
        <v>711</v>
      </c>
      <c r="H26" s="2" t="s">
        <v>712</v>
      </c>
      <c r="I26" s="7" t="s">
        <v>714</v>
      </c>
      <c r="J26" s="2" t="e">
        <f>VLOOKUP(M26,[1]Directorate!$A:$B,2,FALSE)</f>
        <v>#N/A</v>
      </c>
      <c r="K26" s="6">
        <f>ROUND(6250,2)</f>
        <v>6250</v>
      </c>
      <c r="L26" s="2">
        <v>202032</v>
      </c>
      <c r="M26" s="2" t="s">
        <v>82</v>
      </c>
    </row>
    <row r="27" spans="1:13" ht="15.75" x14ac:dyDescent="0.25">
      <c r="A27" s="2" t="s">
        <v>15</v>
      </c>
      <c r="B27" s="2" t="s">
        <v>88</v>
      </c>
      <c r="C27" s="2">
        <v>1</v>
      </c>
      <c r="D27" s="2">
        <v>15446</v>
      </c>
      <c r="E27" s="2" t="s">
        <v>89</v>
      </c>
      <c r="F27" s="2">
        <v>260000</v>
      </c>
      <c r="G27" s="2" t="s">
        <v>720</v>
      </c>
      <c r="H27" s="2" t="s">
        <v>721</v>
      </c>
      <c r="I27" s="5" t="s">
        <v>702</v>
      </c>
      <c r="J27" s="2" t="str">
        <f>VLOOKUP(M27,[1]Directorate!$A:$B,2,FALSE)</f>
        <v>POD Core Staffing</v>
      </c>
      <c r="K27" s="6">
        <f>ROUND(19250,2)</f>
        <v>19250</v>
      </c>
      <c r="L27" s="2">
        <v>102020</v>
      </c>
      <c r="M27" s="2">
        <v>12590</v>
      </c>
    </row>
    <row r="28" spans="1:13" ht="15.75" x14ac:dyDescent="0.25">
      <c r="A28" s="2" t="s">
        <v>15</v>
      </c>
      <c r="B28" s="2" t="s">
        <v>92</v>
      </c>
      <c r="C28" s="2">
        <v>1</v>
      </c>
      <c r="D28" s="2">
        <v>1900</v>
      </c>
      <c r="E28" s="2" t="s">
        <v>93</v>
      </c>
      <c r="F28" s="2">
        <v>390000</v>
      </c>
      <c r="G28" s="2" t="s">
        <v>713</v>
      </c>
      <c r="H28" s="2" t="s">
        <v>713</v>
      </c>
      <c r="I28" s="5" t="s">
        <v>714</v>
      </c>
      <c r="J28" s="2" t="str">
        <f>VLOOKUP(M28,[1]Directorate!$A:$B,2,FALSE)</f>
        <v>Memorial Benches</v>
      </c>
      <c r="K28" s="6">
        <f>ROUND(7100,2)</f>
        <v>7100</v>
      </c>
      <c r="L28" s="2">
        <v>401600</v>
      </c>
      <c r="M28" s="2">
        <v>11279</v>
      </c>
    </row>
    <row r="29" spans="1:13" ht="15.75" x14ac:dyDescent="0.25">
      <c r="A29" s="2" t="s">
        <v>15</v>
      </c>
      <c r="B29" s="2" t="s">
        <v>94</v>
      </c>
      <c r="C29" s="2">
        <v>1</v>
      </c>
      <c r="D29" s="2">
        <v>14951</v>
      </c>
      <c r="E29" s="2" t="s">
        <v>86</v>
      </c>
      <c r="F29" s="2">
        <v>240000</v>
      </c>
      <c r="G29" s="2" t="s">
        <v>711</v>
      </c>
      <c r="H29" s="2" t="s">
        <v>712</v>
      </c>
      <c r="I29" s="7" t="s">
        <v>714</v>
      </c>
      <c r="J29" s="2" t="e">
        <f>VLOOKUP(M29,[1]Directorate!$A:$B,2,FALSE)</f>
        <v>#N/A</v>
      </c>
      <c r="K29" s="6">
        <f>ROUND(9490,2)</f>
        <v>9490</v>
      </c>
      <c r="L29" s="2">
        <v>202032</v>
      </c>
      <c r="M29" s="2" t="s">
        <v>82</v>
      </c>
    </row>
    <row r="30" spans="1:13" ht="15.75" x14ac:dyDescent="0.25">
      <c r="A30" s="2" t="s">
        <v>15</v>
      </c>
      <c r="B30" s="2" t="s">
        <v>98</v>
      </c>
      <c r="C30" s="2">
        <v>1</v>
      </c>
      <c r="D30" s="2">
        <v>9439</v>
      </c>
      <c r="E30" s="2" t="s">
        <v>99</v>
      </c>
      <c r="F30" s="2">
        <v>181800</v>
      </c>
      <c r="G30" s="2" t="s">
        <v>706</v>
      </c>
      <c r="H30" s="2" t="s">
        <v>707</v>
      </c>
      <c r="I30" s="5" t="s">
        <v>705</v>
      </c>
      <c r="J30" s="2" t="str">
        <f>VLOOKUP(M30,[1]Directorate!$A:$B,2,FALSE)</f>
        <v>DP - CEAS</v>
      </c>
      <c r="K30" s="6">
        <f>ROUND(6345,2)</f>
        <v>6345</v>
      </c>
      <c r="L30" s="2">
        <v>400110</v>
      </c>
      <c r="M30" s="2">
        <v>12189</v>
      </c>
    </row>
    <row r="31" spans="1:13" ht="15.75" x14ac:dyDescent="0.25">
      <c r="A31" s="2" t="s">
        <v>15</v>
      </c>
      <c r="B31" s="2" t="s">
        <v>92</v>
      </c>
      <c r="C31" s="2">
        <v>2</v>
      </c>
      <c r="D31" s="2">
        <v>1900</v>
      </c>
      <c r="E31" s="2" t="s">
        <v>93</v>
      </c>
      <c r="F31" s="2">
        <v>390000</v>
      </c>
      <c r="G31" s="2" t="s">
        <v>713</v>
      </c>
      <c r="H31" s="2" t="s">
        <v>713</v>
      </c>
      <c r="I31" s="5" t="s">
        <v>714</v>
      </c>
      <c r="J31" s="2" t="str">
        <f>VLOOKUP(M31,[1]Directorate!$A:$B,2,FALSE)</f>
        <v>Memorial Benches</v>
      </c>
      <c r="K31" s="6">
        <f>ROUND(417,2)</f>
        <v>417</v>
      </c>
      <c r="L31" s="2">
        <v>401600</v>
      </c>
      <c r="M31" s="2">
        <v>11279</v>
      </c>
    </row>
    <row r="32" spans="1:13" ht="15.75" x14ac:dyDescent="0.25">
      <c r="A32" s="2" t="s">
        <v>6</v>
      </c>
      <c r="B32" s="2" t="s">
        <v>79</v>
      </c>
      <c r="C32" s="2">
        <v>1</v>
      </c>
      <c r="D32" s="2">
        <v>12646</v>
      </c>
      <c r="E32" s="2" t="s">
        <v>31</v>
      </c>
      <c r="F32" s="2">
        <v>999999</v>
      </c>
      <c r="G32" s="2" t="s">
        <v>715</v>
      </c>
      <c r="H32" s="2" t="s">
        <v>715</v>
      </c>
      <c r="I32" s="5" t="s">
        <v>705</v>
      </c>
      <c r="J32" s="2" t="str">
        <f>VLOOKUP(M32,[1]Directorate!$A:$B,2,FALSE)</f>
        <v>RAA - ASF Grant</v>
      </c>
      <c r="K32" s="6">
        <f>ROUND(5000,2)</f>
        <v>5000</v>
      </c>
      <c r="L32" s="2">
        <v>401035</v>
      </c>
      <c r="M32" s="2">
        <v>12968</v>
      </c>
    </row>
    <row r="33" spans="1:13" ht="15.75" x14ac:dyDescent="0.25">
      <c r="A33" s="2" t="s">
        <v>6</v>
      </c>
      <c r="B33" s="2" t="s">
        <v>83</v>
      </c>
      <c r="C33" s="2">
        <v>1</v>
      </c>
      <c r="D33" s="2">
        <v>9232</v>
      </c>
      <c r="E33" s="2" t="s">
        <v>84</v>
      </c>
      <c r="F33" s="2">
        <v>150000</v>
      </c>
      <c r="G33" s="2" t="s">
        <v>716</v>
      </c>
      <c r="H33" s="2" t="s">
        <v>717</v>
      </c>
      <c r="I33" s="5" t="s">
        <v>705</v>
      </c>
      <c r="J33" s="2" t="str">
        <f>VLOOKUP(M33,[1]Directorate!$A:$B,2,FALSE)</f>
        <v>SEN Incl - Psycholog</v>
      </c>
      <c r="K33" s="6">
        <f>ROUND(1375,2)</f>
        <v>1375</v>
      </c>
      <c r="L33" s="2">
        <v>401007</v>
      </c>
      <c r="M33" s="2">
        <v>10751</v>
      </c>
    </row>
    <row r="34" spans="1:13" ht="15.75" x14ac:dyDescent="0.25">
      <c r="A34" s="2" t="s">
        <v>6</v>
      </c>
      <c r="B34" s="2" t="s">
        <v>100</v>
      </c>
      <c r="C34" s="2">
        <v>1</v>
      </c>
      <c r="D34" s="2">
        <v>15663</v>
      </c>
      <c r="E34" s="2" t="s">
        <v>101</v>
      </c>
      <c r="F34" s="2">
        <v>999999</v>
      </c>
      <c r="G34" s="2" t="s">
        <v>715</v>
      </c>
      <c r="H34" s="2" t="s">
        <v>715</v>
      </c>
      <c r="I34" s="5" t="s">
        <v>705</v>
      </c>
      <c r="J34" s="2" t="str">
        <f>VLOOKUP(M34,[1]Directorate!$A:$B,2,FALSE)</f>
        <v>RAA - ASF Grant</v>
      </c>
      <c r="K34" s="6">
        <f>ROUND(3999.6,2)</f>
        <v>3999.6</v>
      </c>
      <c r="L34" s="2">
        <v>401035</v>
      </c>
      <c r="M34" s="2">
        <v>12968</v>
      </c>
    </row>
    <row r="35" spans="1:13" ht="15.75" x14ac:dyDescent="0.25">
      <c r="A35" s="2" t="s">
        <v>6</v>
      </c>
      <c r="B35" s="2" t="s">
        <v>102</v>
      </c>
      <c r="C35" s="2">
        <v>1</v>
      </c>
      <c r="D35" s="2">
        <v>15074</v>
      </c>
      <c r="E35" s="2" t="s">
        <v>103</v>
      </c>
      <c r="F35" s="2">
        <v>181800</v>
      </c>
      <c r="G35" s="2" t="s">
        <v>706</v>
      </c>
      <c r="H35" s="2" t="s">
        <v>707</v>
      </c>
      <c r="I35" s="5" t="s">
        <v>705</v>
      </c>
      <c r="J35" s="2" t="str">
        <f>VLOOKUP(M35,[1]Directorate!$A:$B,2,FALSE)</f>
        <v>Highfields PRU</v>
      </c>
      <c r="K35" s="6">
        <f>ROUND(6930,2)</f>
        <v>6930</v>
      </c>
      <c r="L35" s="2">
        <v>400110</v>
      </c>
      <c r="M35" s="2">
        <v>10329</v>
      </c>
    </row>
    <row r="36" spans="1:13" ht="15.75" x14ac:dyDescent="0.25">
      <c r="A36" s="2" t="s">
        <v>6</v>
      </c>
      <c r="B36" s="2" t="s">
        <v>83</v>
      </c>
      <c r="C36" s="2">
        <v>2</v>
      </c>
      <c r="D36" s="2">
        <v>9232</v>
      </c>
      <c r="E36" s="2" t="s">
        <v>84</v>
      </c>
      <c r="F36" s="2">
        <v>150000</v>
      </c>
      <c r="G36" s="2" t="s">
        <v>716</v>
      </c>
      <c r="H36" s="2" t="s">
        <v>717</v>
      </c>
      <c r="I36" s="5" t="s">
        <v>705</v>
      </c>
      <c r="J36" s="2" t="str">
        <f>VLOOKUP(M36,[1]Directorate!$A:$B,2,FALSE)</f>
        <v>SEN Incl - Psycholog</v>
      </c>
      <c r="K36" s="6">
        <f>ROUND(2750,2)</f>
        <v>2750</v>
      </c>
      <c r="L36" s="2">
        <v>401007</v>
      </c>
      <c r="M36" s="2">
        <v>10751</v>
      </c>
    </row>
    <row r="37" spans="1:13" ht="15.75" x14ac:dyDescent="0.25">
      <c r="A37" s="2" t="s">
        <v>6</v>
      </c>
      <c r="B37" s="2" t="s">
        <v>100</v>
      </c>
      <c r="C37" s="2">
        <v>2</v>
      </c>
      <c r="D37" s="2">
        <v>15663</v>
      </c>
      <c r="E37" s="2" t="s">
        <v>101</v>
      </c>
      <c r="F37" s="2">
        <v>999999</v>
      </c>
      <c r="G37" s="2" t="s">
        <v>715</v>
      </c>
      <c r="H37" s="2" t="s">
        <v>715</v>
      </c>
      <c r="I37" s="5" t="s">
        <v>705</v>
      </c>
      <c r="J37" s="2" t="str">
        <f>VLOOKUP(M37,[1]Directorate!$A:$B,2,FALSE)</f>
        <v>RAA - ASF Grant</v>
      </c>
      <c r="K37" s="6">
        <f>ROUND(1486.8,2)</f>
        <v>1486.8</v>
      </c>
      <c r="L37" s="2">
        <v>401035</v>
      </c>
      <c r="M37" s="2">
        <v>12968</v>
      </c>
    </row>
    <row r="38" spans="1:13" ht="15.75" x14ac:dyDescent="0.25">
      <c r="A38" s="2" t="s">
        <v>6</v>
      </c>
      <c r="B38" s="2" t="s">
        <v>83</v>
      </c>
      <c r="C38" s="2">
        <v>3</v>
      </c>
      <c r="D38" s="2">
        <v>9232</v>
      </c>
      <c r="E38" s="2" t="s">
        <v>84</v>
      </c>
      <c r="F38" s="2">
        <v>150000</v>
      </c>
      <c r="G38" s="2" t="s">
        <v>716</v>
      </c>
      <c r="H38" s="2" t="s">
        <v>717</v>
      </c>
      <c r="I38" s="5" t="s">
        <v>705</v>
      </c>
      <c r="J38" s="2" t="str">
        <f>VLOOKUP(M38,[1]Directorate!$A:$B,2,FALSE)</f>
        <v>SEN Incl - Psycholog</v>
      </c>
      <c r="K38" s="6">
        <f>ROUND(1375,2)</f>
        <v>1375</v>
      </c>
      <c r="L38" s="2">
        <v>401007</v>
      </c>
      <c r="M38" s="2">
        <v>10751</v>
      </c>
    </row>
    <row r="39" spans="1:13" ht="15.75" x14ac:dyDescent="0.25">
      <c r="A39" s="2" t="s">
        <v>6</v>
      </c>
      <c r="B39" s="2" t="s">
        <v>83</v>
      </c>
      <c r="C39" s="2">
        <v>4</v>
      </c>
      <c r="D39" s="2">
        <v>9232</v>
      </c>
      <c r="E39" s="2" t="s">
        <v>84</v>
      </c>
      <c r="F39" s="2">
        <v>150000</v>
      </c>
      <c r="G39" s="2" t="s">
        <v>716</v>
      </c>
      <c r="H39" s="2" t="s">
        <v>717</v>
      </c>
      <c r="I39" s="5" t="s">
        <v>705</v>
      </c>
      <c r="J39" s="2" t="str">
        <f>VLOOKUP(M39,[1]Directorate!$A:$B,2,FALSE)</f>
        <v>SEN Incl - Psycholog</v>
      </c>
      <c r="K39" s="6">
        <f>ROUND(1375,2)</f>
        <v>1375</v>
      </c>
      <c r="L39" s="2">
        <v>401007</v>
      </c>
      <c r="M39" s="2">
        <v>10751</v>
      </c>
    </row>
    <row r="40" spans="1:13" ht="15.75" x14ac:dyDescent="0.25">
      <c r="A40" s="2" t="s">
        <v>6</v>
      </c>
      <c r="B40" s="2" t="s">
        <v>83</v>
      </c>
      <c r="C40" s="2">
        <v>5</v>
      </c>
      <c r="D40" s="2">
        <v>9232</v>
      </c>
      <c r="E40" s="2" t="s">
        <v>84</v>
      </c>
      <c r="F40" s="2">
        <v>150000</v>
      </c>
      <c r="G40" s="2" t="s">
        <v>716</v>
      </c>
      <c r="H40" s="2" t="s">
        <v>717</v>
      </c>
      <c r="I40" s="5" t="s">
        <v>705</v>
      </c>
      <c r="J40" s="2" t="str">
        <f>VLOOKUP(M40,[1]Directorate!$A:$B,2,FALSE)</f>
        <v>SEN Incl - Psycholog</v>
      </c>
      <c r="K40" s="6">
        <f>ROUND(1375,2)</f>
        <v>1375</v>
      </c>
      <c r="L40" s="2">
        <v>401007</v>
      </c>
      <c r="M40" s="2">
        <v>10751</v>
      </c>
    </row>
    <row r="41" spans="1:13" ht="15.75" x14ac:dyDescent="0.25">
      <c r="A41" s="2" t="s">
        <v>6</v>
      </c>
      <c r="B41" s="2" t="s">
        <v>83</v>
      </c>
      <c r="C41" s="2">
        <v>6</v>
      </c>
      <c r="D41" s="2">
        <v>9232</v>
      </c>
      <c r="E41" s="2" t="s">
        <v>84</v>
      </c>
      <c r="F41" s="2">
        <v>150000</v>
      </c>
      <c r="G41" s="2" t="s">
        <v>716</v>
      </c>
      <c r="H41" s="2" t="s">
        <v>717</v>
      </c>
      <c r="I41" s="5" t="s">
        <v>705</v>
      </c>
      <c r="J41" s="2" t="str">
        <f>VLOOKUP(M41,[1]Directorate!$A:$B,2,FALSE)</f>
        <v>SEN Incl - Psycholog</v>
      </c>
      <c r="K41" s="6">
        <f>ROUND(1375,2)</f>
        <v>1375</v>
      </c>
      <c r="L41" s="2">
        <v>401007</v>
      </c>
      <c r="M41" s="2">
        <v>10751</v>
      </c>
    </row>
    <row r="42" spans="1:13" ht="15.75" x14ac:dyDescent="0.25">
      <c r="A42" s="2" t="s">
        <v>47</v>
      </c>
      <c r="B42" s="2" t="s">
        <v>90</v>
      </c>
      <c r="C42" s="2">
        <v>1</v>
      </c>
      <c r="D42" s="2">
        <v>14317</v>
      </c>
      <c r="E42" s="2" t="s">
        <v>91</v>
      </c>
      <c r="F42" s="2">
        <v>150000</v>
      </c>
      <c r="G42" s="2" t="s">
        <v>716</v>
      </c>
      <c r="H42" s="2" t="s">
        <v>717</v>
      </c>
      <c r="I42" s="5" t="s">
        <v>714</v>
      </c>
      <c r="J42" s="2" t="str">
        <f>VLOOKUP(M42,[1]Directorate!$A:$B,2,FALSE)</f>
        <v>MS Design Frnwk Staf</v>
      </c>
      <c r="K42" s="6">
        <f>ROUND(9900,2)</f>
        <v>9900</v>
      </c>
      <c r="L42" s="2">
        <v>401020</v>
      </c>
      <c r="M42" s="2">
        <v>13107</v>
      </c>
    </row>
    <row r="43" spans="1:13" ht="15.75" x14ac:dyDescent="0.25">
      <c r="A43" s="2" t="s">
        <v>47</v>
      </c>
      <c r="B43" s="2" t="s">
        <v>104</v>
      </c>
      <c r="C43" s="2">
        <v>1</v>
      </c>
      <c r="D43" s="2">
        <v>6967</v>
      </c>
      <c r="E43" s="2" t="s">
        <v>53</v>
      </c>
      <c r="F43" s="2">
        <v>150000</v>
      </c>
      <c r="G43" s="2" t="s">
        <v>716</v>
      </c>
      <c r="H43" s="2" t="s">
        <v>717</v>
      </c>
      <c r="I43" s="5" t="s">
        <v>714</v>
      </c>
      <c r="J43" s="2" t="str">
        <f>VLOOKUP(M43,[1]Directorate!$A:$B,2,FALSE)</f>
        <v>Network Management</v>
      </c>
      <c r="K43" s="6">
        <f>ROUND(38008,2)</f>
        <v>38008</v>
      </c>
      <c r="L43" s="2">
        <v>401020</v>
      </c>
      <c r="M43" s="2">
        <v>13179</v>
      </c>
    </row>
    <row r="44" spans="1:13" ht="15.75" x14ac:dyDescent="0.25">
      <c r="A44" s="2" t="s">
        <v>47</v>
      </c>
      <c r="B44" s="2" t="s">
        <v>111</v>
      </c>
      <c r="C44" s="2">
        <v>1</v>
      </c>
      <c r="D44" s="2">
        <v>3529</v>
      </c>
      <c r="E44" s="2" t="s">
        <v>20</v>
      </c>
      <c r="F44" s="2">
        <v>999999</v>
      </c>
      <c r="G44" s="2" t="s">
        <v>722</v>
      </c>
      <c r="H44" s="2" t="s">
        <v>723</v>
      </c>
      <c r="I44" s="5" t="s">
        <v>705</v>
      </c>
      <c r="J44" s="2" t="str">
        <f>VLOOKUP(M44,[1]Directorate!$A:$B,2,FALSE)</f>
        <v>Moat House PRU</v>
      </c>
      <c r="K44" s="6">
        <f>ROUND(10670.85,2)</f>
        <v>10670.85</v>
      </c>
      <c r="L44" s="2">
        <v>100100</v>
      </c>
      <c r="M44" s="2">
        <v>10313</v>
      </c>
    </row>
    <row r="45" spans="1:13" ht="15.75" x14ac:dyDescent="0.25">
      <c r="A45" s="2" t="s">
        <v>47</v>
      </c>
      <c r="B45" s="2" t="s">
        <v>112</v>
      </c>
      <c r="C45" s="2">
        <v>1</v>
      </c>
      <c r="D45" s="2">
        <v>11308</v>
      </c>
      <c r="E45" s="2" t="s">
        <v>113</v>
      </c>
      <c r="F45" s="2">
        <v>999999</v>
      </c>
      <c r="G45" s="2" t="s">
        <v>715</v>
      </c>
      <c r="H45" s="2" t="s">
        <v>715</v>
      </c>
      <c r="I45" s="5" t="s">
        <v>705</v>
      </c>
      <c r="J45" s="2" t="str">
        <f>VLOOKUP(M45,[1]Directorate!$A:$B,2,FALSE)</f>
        <v>RAA - ASF Grant</v>
      </c>
      <c r="K45" s="6">
        <f>ROUND(5000,2)</f>
        <v>5000</v>
      </c>
      <c r="L45" s="2">
        <v>401035</v>
      </c>
      <c r="M45" s="2">
        <v>12968</v>
      </c>
    </row>
    <row r="46" spans="1:13" ht="15.75" x14ac:dyDescent="0.25">
      <c r="A46" s="2" t="s">
        <v>47</v>
      </c>
      <c r="B46" s="2" t="s">
        <v>116</v>
      </c>
      <c r="C46" s="2">
        <v>1</v>
      </c>
      <c r="D46" s="2">
        <v>6967</v>
      </c>
      <c r="E46" s="2" t="s">
        <v>53</v>
      </c>
      <c r="F46" s="2">
        <v>150000</v>
      </c>
      <c r="G46" s="2" t="s">
        <v>716</v>
      </c>
      <c r="H46" s="2" t="s">
        <v>717</v>
      </c>
      <c r="I46" s="5" t="s">
        <v>714</v>
      </c>
      <c r="J46" s="2" t="str">
        <f>VLOOKUP(M46,[1]Directorate!$A:$B,2,FALSE)</f>
        <v>MS Design Frnwk Staf</v>
      </c>
      <c r="K46" s="6">
        <f>ROUND(16422.12,2)</f>
        <v>16422.12</v>
      </c>
      <c r="L46" s="2">
        <v>401020</v>
      </c>
      <c r="M46" s="2">
        <v>13107</v>
      </c>
    </row>
    <row r="47" spans="1:13" ht="15.75" x14ac:dyDescent="0.25">
      <c r="A47" s="2" t="s">
        <v>47</v>
      </c>
      <c r="B47" s="2" t="s">
        <v>117</v>
      </c>
      <c r="C47" s="2">
        <v>1</v>
      </c>
      <c r="D47" s="2">
        <v>15251</v>
      </c>
      <c r="E47" s="2" t="s">
        <v>118</v>
      </c>
      <c r="F47" s="2">
        <v>240000</v>
      </c>
      <c r="G47" s="2" t="s">
        <v>711</v>
      </c>
      <c r="H47" s="2" t="s">
        <v>712</v>
      </c>
      <c r="I47" s="7" t="s">
        <v>714</v>
      </c>
      <c r="J47" s="2" t="e">
        <f>VLOOKUP(M47,[1]Directorate!$A:$B,2,FALSE)</f>
        <v>#N/A</v>
      </c>
      <c r="K47" s="6">
        <f>ROUND(11850,2)</f>
        <v>11850</v>
      </c>
      <c r="L47" s="2">
        <v>202032</v>
      </c>
      <c r="M47" s="2" t="s">
        <v>119</v>
      </c>
    </row>
    <row r="48" spans="1:13" ht="15.75" x14ac:dyDescent="0.25">
      <c r="A48" s="2" t="s">
        <v>4</v>
      </c>
      <c r="B48" s="2" t="s">
        <v>114</v>
      </c>
      <c r="C48" s="2">
        <v>1</v>
      </c>
      <c r="D48" s="2">
        <v>14724</v>
      </c>
      <c r="E48" s="2" t="s">
        <v>115</v>
      </c>
      <c r="F48" s="2">
        <v>270000</v>
      </c>
      <c r="G48" s="2" t="s">
        <v>724</v>
      </c>
      <c r="H48" s="2" t="s">
        <v>725</v>
      </c>
      <c r="I48" s="5" t="s">
        <v>702</v>
      </c>
      <c r="J48" s="2" t="str">
        <f>VLOOKUP(M48,[1]Directorate!$A:$B,2,FALSE)</f>
        <v>Strategy &amp; Design</v>
      </c>
      <c r="K48" s="6">
        <f>ROUND(39650,2)</f>
        <v>39650</v>
      </c>
      <c r="L48" s="2">
        <v>402001</v>
      </c>
      <c r="M48" s="2">
        <v>12642</v>
      </c>
    </row>
    <row r="49" spans="1:13" ht="15.75" x14ac:dyDescent="0.25">
      <c r="A49" s="2" t="s">
        <v>4</v>
      </c>
      <c r="B49" s="2" t="s">
        <v>123</v>
      </c>
      <c r="C49" s="2">
        <v>1</v>
      </c>
      <c r="D49" s="2">
        <v>12902</v>
      </c>
      <c r="E49" s="2" t="s">
        <v>124</v>
      </c>
      <c r="F49" s="2">
        <v>390000</v>
      </c>
      <c r="G49" s="2" t="s">
        <v>703</v>
      </c>
      <c r="H49" s="2" t="s">
        <v>726</v>
      </c>
      <c r="I49" s="5" t="s">
        <v>714</v>
      </c>
      <c r="J49" s="2" t="str">
        <f>VLOOKUP(M49,[1]Directorate!$A:$B,2,FALSE)</f>
        <v>Property Client Acct</v>
      </c>
      <c r="K49" s="6">
        <f>ROUND(9800,2)</f>
        <v>9800</v>
      </c>
      <c r="L49" s="2">
        <v>200311</v>
      </c>
      <c r="M49" s="2">
        <v>11137</v>
      </c>
    </row>
    <row r="50" spans="1:13" ht="15.75" x14ac:dyDescent="0.25">
      <c r="A50" s="2" t="s">
        <v>4</v>
      </c>
      <c r="B50" s="2" t="s">
        <v>130</v>
      </c>
      <c r="C50" s="2">
        <v>1</v>
      </c>
      <c r="D50" s="2">
        <v>16092</v>
      </c>
      <c r="E50" s="2" t="s">
        <v>125</v>
      </c>
      <c r="F50" s="2">
        <v>390000</v>
      </c>
      <c r="G50" s="2" t="s">
        <v>703</v>
      </c>
      <c r="H50" s="2" t="s">
        <v>726</v>
      </c>
      <c r="I50" s="5" t="s">
        <v>714</v>
      </c>
      <c r="J50" s="2" t="str">
        <f>VLOOKUP(M50,[1]Directorate!$A:$B,2,FALSE)</f>
        <v>Property Client Acct</v>
      </c>
      <c r="K50" s="6">
        <f>ROUND(9675,2)</f>
        <v>9675</v>
      </c>
      <c r="L50" s="2">
        <v>200311</v>
      </c>
      <c r="M50" s="2">
        <v>11137</v>
      </c>
    </row>
    <row r="51" spans="1:13" ht="15.75" x14ac:dyDescent="0.25">
      <c r="A51" s="2" t="s">
        <v>27</v>
      </c>
      <c r="B51" s="2" t="s">
        <v>95</v>
      </c>
      <c r="C51" s="2">
        <v>1</v>
      </c>
      <c r="D51" s="2">
        <v>433</v>
      </c>
      <c r="E51" s="2" t="s">
        <v>96</v>
      </c>
      <c r="F51" s="2">
        <v>150000</v>
      </c>
      <c r="G51" s="2" t="s">
        <v>716</v>
      </c>
      <c r="H51" s="2" t="s">
        <v>717</v>
      </c>
      <c r="I51" s="5" t="s">
        <v>714</v>
      </c>
      <c r="J51" s="2" t="str">
        <f>VLOOKUP(M51,[1]Directorate!$A:$B,2,FALSE)</f>
        <v>MS Design Frnwk Staf</v>
      </c>
      <c r="K51" s="6">
        <f>ROUND(50000,2)</f>
        <v>50000</v>
      </c>
      <c r="L51" s="2">
        <v>401020</v>
      </c>
      <c r="M51" s="2">
        <v>13107</v>
      </c>
    </row>
    <row r="52" spans="1:13" ht="15.75" x14ac:dyDescent="0.25">
      <c r="A52" s="2" t="s">
        <v>27</v>
      </c>
      <c r="B52" s="2" t="s">
        <v>97</v>
      </c>
      <c r="C52" s="2">
        <v>1</v>
      </c>
      <c r="D52" s="2">
        <v>433</v>
      </c>
      <c r="E52" s="2" t="s">
        <v>96</v>
      </c>
      <c r="F52" s="2">
        <v>150000</v>
      </c>
      <c r="G52" s="2" t="s">
        <v>716</v>
      </c>
      <c r="H52" s="2" t="s">
        <v>717</v>
      </c>
      <c r="I52" s="5" t="s">
        <v>714</v>
      </c>
      <c r="J52" s="2" t="str">
        <f>VLOOKUP(M52,[1]Directorate!$A:$B,2,FALSE)</f>
        <v>MS Design Frnwk Staf</v>
      </c>
      <c r="K52" s="6">
        <f>ROUND(50000,2)</f>
        <v>50000</v>
      </c>
      <c r="L52" s="2">
        <v>401020</v>
      </c>
      <c r="M52" s="2">
        <v>13107</v>
      </c>
    </row>
    <row r="53" spans="1:13" ht="15.75" x14ac:dyDescent="0.25">
      <c r="A53" s="2" t="s">
        <v>27</v>
      </c>
      <c r="B53" s="2" t="s">
        <v>133</v>
      </c>
      <c r="C53" s="2">
        <v>1</v>
      </c>
      <c r="D53" s="2">
        <v>5276</v>
      </c>
      <c r="E53" s="2" t="s">
        <v>134</v>
      </c>
      <c r="F53" s="2">
        <v>182020</v>
      </c>
      <c r="G53" s="2" t="s">
        <v>727</v>
      </c>
      <c r="H53" s="2" t="s">
        <v>728</v>
      </c>
      <c r="I53" s="5" t="s">
        <v>714</v>
      </c>
      <c r="J53" s="2" t="str">
        <f>VLOOKUP(M53,[1]Directorate!$A:$B,2,FALSE)</f>
        <v>Wheelie Bins</v>
      </c>
      <c r="K53" s="6">
        <f>ROUND(6406.45,2)</f>
        <v>6406.45</v>
      </c>
      <c r="L53" s="2">
        <v>400401</v>
      </c>
      <c r="M53" s="2">
        <v>10864</v>
      </c>
    </row>
    <row r="54" spans="1:13" ht="15.75" x14ac:dyDescent="0.25">
      <c r="A54" s="2" t="s">
        <v>27</v>
      </c>
      <c r="B54" s="2" t="s">
        <v>136</v>
      </c>
      <c r="C54" s="2">
        <v>1</v>
      </c>
      <c r="D54" s="2">
        <v>9816</v>
      </c>
      <c r="E54" s="2" t="s">
        <v>137</v>
      </c>
      <c r="F54" s="2">
        <v>280000</v>
      </c>
      <c r="G54" s="2" t="s">
        <v>729</v>
      </c>
      <c r="H54" s="2" t="s">
        <v>730</v>
      </c>
      <c r="I54" s="5" t="s">
        <v>702</v>
      </c>
      <c r="J54" s="2" t="str">
        <f>VLOOKUP(M54,[1]Directorate!$A:$B,2,FALSE)</f>
        <v>Legal Fees Budget</v>
      </c>
      <c r="K54" s="6">
        <f>ROUND(6352.97,2)</f>
        <v>6352.97</v>
      </c>
      <c r="L54" s="2">
        <v>401016</v>
      </c>
      <c r="M54" s="2">
        <v>12271</v>
      </c>
    </row>
    <row r="55" spans="1:13" ht="15.75" x14ac:dyDescent="0.25">
      <c r="A55" s="2" t="s">
        <v>27</v>
      </c>
      <c r="B55" s="2" t="s">
        <v>140</v>
      </c>
      <c r="C55" s="2">
        <v>1</v>
      </c>
      <c r="D55" s="2">
        <v>13608</v>
      </c>
      <c r="E55" s="2" t="s">
        <v>141</v>
      </c>
      <c r="F55" s="2">
        <v>270000</v>
      </c>
      <c r="G55" s="2" t="s">
        <v>724</v>
      </c>
      <c r="H55" s="2" t="s">
        <v>725</v>
      </c>
      <c r="I55" s="5" t="s">
        <v>702</v>
      </c>
      <c r="J55" s="2" t="str">
        <f>VLOOKUP(M55,[1]Directorate!$A:$B,2,FALSE)</f>
        <v>IT Infrastructure</v>
      </c>
      <c r="K55" s="6">
        <f>ROUND(8232,2)</f>
        <v>8232</v>
      </c>
      <c r="L55" s="2">
        <v>402002</v>
      </c>
      <c r="M55" s="2">
        <v>11324</v>
      </c>
    </row>
    <row r="56" spans="1:13" ht="15.75" x14ac:dyDescent="0.25">
      <c r="A56" s="2" t="s">
        <v>27</v>
      </c>
      <c r="B56" s="2" t="s">
        <v>142</v>
      </c>
      <c r="C56" s="2">
        <v>1</v>
      </c>
      <c r="D56" s="2">
        <v>35</v>
      </c>
      <c r="E56" s="2" t="s">
        <v>22</v>
      </c>
      <c r="F56" s="2">
        <v>270000</v>
      </c>
      <c r="G56" s="2" t="s">
        <v>724</v>
      </c>
      <c r="H56" s="2" t="s">
        <v>725</v>
      </c>
      <c r="I56" s="5" t="s">
        <v>705</v>
      </c>
      <c r="J56" s="2" t="str">
        <f>VLOOKUP(M56,[1]Directorate!$A:$B,2,FALSE)</f>
        <v>SC - Care Matters</v>
      </c>
      <c r="K56" s="6">
        <f>ROUND(5990,2)</f>
        <v>5990</v>
      </c>
      <c r="L56" s="2">
        <v>402001</v>
      </c>
      <c r="M56" s="2">
        <v>11768</v>
      </c>
    </row>
    <row r="57" spans="1:13" ht="15.75" x14ac:dyDescent="0.25">
      <c r="A57" s="2" t="s">
        <v>27</v>
      </c>
      <c r="B57" s="2" t="s">
        <v>146</v>
      </c>
      <c r="C57" s="2">
        <v>1</v>
      </c>
      <c r="D57" s="2">
        <v>12609</v>
      </c>
      <c r="E57" s="2" t="s">
        <v>147</v>
      </c>
      <c r="F57" s="2">
        <v>202000</v>
      </c>
      <c r="G57" s="2" t="s">
        <v>731</v>
      </c>
      <c r="H57" s="2" t="s">
        <v>732</v>
      </c>
      <c r="I57" s="5" t="s">
        <v>702</v>
      </c>
      <c r="J57" s="2" t="str">
        <f>VLOOKUP(M57,[1]Directorate!$A:$B,2,FALSE)</f>
        <v>Parliment&amp;O Election</v>
      </c>
      <c r="K57" s="6">
        <f>ROUND(21065,2)</f>
        <v>21065</v>
      </c>
      <c r="L57" s="2">
        <v>200720</v>
      </c>
      <c r="M57" s="2">
        <v>12103</v>
      </c>
    </row>
    <row r="58" spans="1:13" ht="15.75" x14ac:dyDescent="0.25">
      <c r="A58" s="2" t="s">
        <v>27</v>
      </c>
      <c r="B58" s="2" t="s">
        <v>133</v>
      </c>
      <c r="C58" s="2">
        <v>2</v>
      </c>
      <c r="D58" s="2">
        <v>5276</v>
      </c>
      <c r="E58" s="2" t="s">
        <v>134</v>
      </c>
      <c r="F58" s="2">
        <v>182020</v>
      </c>
      <c r="G58" s="2" t="s">
        <v>727</v>
      </c>
      <c r="H58" s="2" t="s">
        <v>728</v>
      </c>
      <c r="I58" s="5" t="s">
        <v>714</v>
      </c>
      <c r="J58" s="2" t="str">
        <f>VLOOKUP(M58,[1]Directorate!$A:$B,2,FALSE)</f>
        <v>Wheelie Bins</v>
      </c>
      <c r="K58" s="6">
        <f>ROUND(3431,2)</f>
        <v>3431</v>
      </c>
      <c r="L58" s="2">
        <v>400401</v>
      </c>
      <c r="M58" s="2">
        <v>10864</v>
      </c>
    </row>
    <row r="59" spans="1:13" ht="15.75" x14ac:dyDescent="0.25">
      <c r="A59" s="2" t="s">
        <v>27</v>
      </c>
      <c r="B59" s="2" t="s">
        <v>146</v>
      </c>
      <c r="C59" s="2">
        <v>2</v>
      </c>
      <c r="D59" s="2">
        <v>12609</v>
      </c>
      <c r="E59" s="2" t="s">
        <v>147</v>
      </c>
      <c r="F59" s="2">
        <v>202000</v>
      </c>
      <c r="G59" s="2" t="s">
        <v>731</v>
      </c>
      <c r="H59" s="2" t="s">
        <v>732</v>
      </c>
      <c r="I59" s="5" t="s">
        <v>702</v>
      </c>
      <c r="J59" s="2" t="str">
        <f>VLOOKUP(M59,[1]Directorate!$A:$B,2,FALSE)</f>
        <v>Parliment&amp;O Election</v>
      </c>
      <c r="K59" s="6">
        <f>ROUND(280,2)</f>
        <v>280</v>
      </c>
      <c r="L59" s="2">
        <v>200720</v>
      </c>
      <c r="M59" s="2">
        <v>12103</v>
      </c>
    </row>
    <row r="60" spans="1:13" ht="15.75" x14ac:dyDescent="0.25">
      <c r="A60" s="2" t="s">
        <v>87</v>
      </c>
      <c r="B60" s="2" t="s">
        <v>150</v>
      </c>
      <c r="C60" s="2">
        <v>1</v>
      </c>
      <c r="D60" s="2">
        <v>5643</v>
      </c>
      <c r="E60" s="2" t="s">
        <v>151</v>
      </c>
      <c r="F60" s="2">
        <v>390000</v>
      </c>
      <c r="G60" s="2" t="s">
        <v>703</v>
      </c>
      <c r="H60" s="2" t="s">
        <v>726</v>
      </c>
      <c r="I60" s="7" t="s">
        <v>714</v>
      </c>
      <c r="J60" s="2" t="e">
        <f>VLOOKUP(M60,[1]Directorate!$A:$B,2,FALSE)</f>
        <v>#N/A</v>
      </c>
      <c r="K60" s="6">
        <f>ROUND(6169,2)</f>
        <v>6169</v>
      </c>
      <c r="L60" s="2">
        <v>200301</v>
      </c>
      <c r="M60" s="2" t="s">
        <v>71</v>
      </c>
    </row>
    <row r="61" spans="1:13" ht="15.75" x14ac:dyDescent="0.25">
      <c r="A61" s="2" t="s">
        <v>87</v>
      </c>
      <c r="B61" s="2" t="s">
        <v>159</v>
      </c>
      <c r="C61" s="2">
        <v>1</v>
      </c>
      <c r="D61" s="2">
        <v>5535</v>
      </c>
      <c r="E61" s="2" t="s">
        <v>160</v>
      </c>
      <c r="F61" s="2">
        <v>181800</v>
      </c>
      <c r="G61" s="2" t="s">
        <v>706</v>
      </c>
      <c r="H61" s="2" t="s">
        <v>707</v>
      </c>
      <c r="I61" s="5" t="s">
        <v>705</v>
      </c>
      <c r="J61" s="2" t="str">
        <f>VLOOKUP(M61,[1]Directorate!$A:$B,2,FALSE)</f>
        <v>Highfields PRU</v>
      </c>
      <c r="K61" s="6">
        <f>ROUND(9899,2)</f>
        <v>9899</v>
      </c>
      <c r="L61" s="2">
        <v>400110</v>
      </c>
      <c r="M61" s="2">
        <v>10329</v>
      </c>
    </row>
    <row r="62" spans="1:13" ht="15.75" x14ac:dyDescent="0.25">
      <c r="A62" s="2" t="s">
        <v>9</v>
      </c>
      <c r="B62" s="2" t="s">
        <v>68</v>
      </c>
      <c r="C62" s="2">
        <v>1</v>
      </c>
      <c r="D62" s="2">
        <v>6748</v>
      </c>
      <c r="E62" s="2" t="s">
        <v>11</v>
      </c>
      <c r="F62" s="2">
        <v>390000</v>
      </c>
      <c r="G62" s="2" t="s">
        <v>713</v>
      </c>
      <c r="H62" s="2" t="s">
        <v>713</v>
      </c>
      <c r="I62" s="7" t="s">
        <v>714</v>
      </c>
      <c r="J62" s="2" t="e">
        <f>VLOOKUP(M62,[1]Directorate!$A:$B,2,FALSE)</f>
        <v>#N/A</v>
      </c>
      <c r="K62" s="6">
        <f>ROUND(65185.83,2)</f>
        <v>65185.83</v>
      </c>
      <c r="L62" s="2">
        <v>401600</v>
      </c>
      <c r="M62" s="2" t="s">
        <v>69</v>
      </c>
    </row>
    <row r="63" spans="1:13" ht="15.75" x14ac:dyDescent="0.25">
      <c r="A63" s="2" t="s">
        <v>9</v>
      </c>
      <c r="B63" s="2" t="s">
        <v>109</v>
      </c>
      <c r="C63" s="2">
        <v>1</v>
      </c>
      <c r="D63" s="2">
        <v>5915</v>
      </c>
      <c r="E63" s="2" t="s">
        <v>110</v>
      </c>
      <c r="F63" s="2">
        <v>150000</v>
      </c>
      <c r="G63" s="2" t="s">
        <v>716</v>
      </c>
      <c r="H63" s="2" t="s">
        <v>717</v>
      </c>
      <c r="I63" s="5" t="s">
        <v>714</v>
      </c>
      <c r="J63" s="2" t="str">
        <f>VLOOKUP(M63,[1]Directorate!$A:$B,2,FALSE)</f>
        <v>Network Management</v>
      </c>
      <c r="K63" s="6">
        <f>ROUND(48211.2,2)</f>
        <v>48211.199999999997</v>
      </c>
      <c r="L63" s="2">
        <v>401020</v>
      </c>
      <c r="M63" s="2">
        <v>13179</v>
      </c>
    </row>
    <row r="64" spans="1:13" ht="15.75" x14ac:dyDescent="0.25">
      <c r="A64" s="2" t="s">
        <v>9</v>
      </c>
      <c r="B64" s="2" t="s">
        <v>131</v>
      </c>
      <c r="C64" s="2">
        <v>1</v>
      </c>
      <c r="D64" s="2">
        <v>6748</v>
      </c>
      <c r="E64" s="2" t="s">
        <v>11</v>
      </c>
      <c r="F64" s="2">
        <v>391114</v>
      </c>
      <c r="G64" s="2" t="s">
        <v>733</v>
      </c>
      <c r="H64" s="2" t="s">
        <v>734</v>
      </c>
      <c r="I64" s="7" t="s">
        <v>714</v>
      </c>
      <c r="J64" s="2" t="e">
        <f>VLOOKUP(M64,[1]Directorate!$A:$B,2,FALSE)</f>
        <v>#N/A</v>
      </c>
      <c r="K64" s="6">
        <f>ROUND(9406.5,2)</f>
        <v>9406.5</v>
      </c>
      <c r="L64" s="2">
        <v>200316</v>
      </c>
      <c r="M64" s="2" t="s">
        <v>132</v>
      </c>
    </row>
    <row r="65" spans="1:13" ht="15.75" x14ac:dyDescent="0.25">
      <c r="A65" s="2" t="s">
        <v>9</v>
      </c>
      <c r="B65" s="2" t="s">
        <v>135</v>
      </c>
      <c r="C65" s="2">
        <v>1</v>
      </c>
      <c r="D65" s="2">
        <v>5276</v>
      </c>
      <c r="E65" s="2" t="s">
        <v>134</v>
      </c>
      <c r="F65" s="2">
        <v>182020</v>
      </c>
      <c r="G65" s="2" t="s">
        <v>727</v>
      </c>
      <c r="H65" s="2" t="s">
        <v>728</v>
      </c>
      <c r="I65" s="5" t="s">
        <v>714</v>
      </c>
      <c r="J65" s="2" t="str">
        <f>VLOOKUP(M65,[1]Directorate!$A:$B,2,FALSE)</f>
        <v>Wheelie Bins</v>
      </c>
      <c r="K65" s="6">
        <f>ROUND(6763.5,2)</f>
        <v>6763.5</v>
      </c>
      <c r="L65" s="2">
        <v>400401</v>
      </c>
      <c r="M65" s="2">
        <v>10864</v>
      </c>
    </row>
    <row r="66" spans="1:13" ht="15.75" x14ac:dyDescent="0.25">
      <c r="A66" s="2" t="s">
        <v>9</v>
      </c>
      <c r="B66" s="2" t="s">
        <v>156</v>
      </c>
      <c r="C66" s="2">
        <v>1</v>
      </c>
      <c r="D66" s="2">
        <v>304</v>
      </c>
      <c r="E66" s="2" t="s">
        <v>81</v>
      </c>
      <c r="F66" s="2">
        <v>240000</v>
      </c>
      <c r="G66" s="2" t="s">
        <v>711</v>
      </c>
      <c r="H66" s="2" t="s">
        <v>712</v>
      </c>
      <c r="I66" s="7" t="s">
        <v>714</v>
      </c>
      <c r="J66" s="2" t="e">
        <f>VLOOKUP(M66,[1]Directorate!$A:$B,2,FALSE)</f>
        <v>#N/A</v>
      </c>
      <c r="K66" s="6">
        <f>ROUND(5000,2)</f>
        <v>5000</v>
      </c>
      <c r="L66" s="2">
        <v>202032</v>
      </c>
      <c r="M66" s="2" t="s">
        <v>82</v>
      </c>
    </row>
    <row r="67" spans="1:13" ht="15.75" x14ac:dyDescent="0.25">
      <c r="A67" s="2" t="s">
        <v>9</v>
      </c>
      <c r="B67" s="2" t="s">
        <v>157</v>
      </c>
      <c r="C67" s="2">
        <v>1</v>
      </c>
      <c r="D67" s="2">
        <v>1339</v>
      </c>
      <c r="E67" s="2" t="s">
        <v>158</v>
      </c>
      <c r="F67" s="2">
        <v>311410</v>
      </c>
      <c r="G67" s="2" t="s">
        <v>735</v>
      </c>
      <c r="H67" s="2" t="s">
        <v>715</v>
      </c>
      <c r="I67" s="5" t="s">
        <v>705</v>
      </c>
      <c r="J67" s="2" t="str">
        <f>VLOOKUP(M67,[1]Directorate!$A:$B,2,FALSE)</f>
        <v>LD Care Purchasing</v>
      </c>
      <c r="K67" s="6">
        <f>ROUND(12000,2)</f>
        <v>12000</v>
      </c>
      <c r="L67" s="2">
        <v>401212</v>
      </c>
      <c r="M67" s="2">
        <v>11837</v>
      </c>
    </row>
    <row r="68" spans="1:13" ht="15.75" x14ac:dyDescent="0.25">
      <c r="A68" s="2" t="s">
        <v>9</v>
      </c>
      <c r="B68" s="2" t="s">
        <v>162</v>
      </c>
      <c r="C68" s="2">
        <v>1</v>
      </c>
      <c r="D68" s="2">
        <v>4272</v>
      </c>
      <c r="E68" s="2" t="s">
        <v>56</v>
      </c>
      <c r="F68" s="2">
        <v>270000</v>
      </c>
      <c r="G68" s="2" t="s">
        <v>724</v>
      </c>
      <c r="H68" s="2" t="s">
        <v>725</v>
      </c>
      <c r="I68" s="5" t="s">
        <v>702</v>
      </c>
      <c r="J68" s="2" t="str">
        <f>VLOOKUP(M68,[1]Directorate!$A:$B,2,FALSE)</f>
        <v>Legal Services</v>
      </c>
      <c r="K68" s="6">
        <f>ROUND(7700,2)</f>
        <v>7700</v>
      </c>
      <c r="L68" s="2">
        <v>402001</v>
      </c>
      <c r="M68" s="2">
        <v>11117</v>
      </c>
    </row>
    <row r="69" spans="1:13" ht="15.75" x14ac:dyDescent="0.25">
      <c r="A69" s="2" t="s">
        <v>9</v>
      </c>
      <c r="B69" s="2" t="s">
        <v>163</v>
      </c>
      <c r="C69" s="2">
        <v>1</v>
      </c>
      <c r="D69" s="2">
        <v>16329</v>
      </c>
      <c r="E69" s="2" t="s">
        <v>164</v>
      </c>
      <c r="F69" s="2">
        <v>390000</v>
      </c>
      <c r="G69" s="2" t="s">
        <v>713</v>
      </c>
      <c r="H69" s="2" t="s">
        <v>713</v>
      </c>
      <c r="I69" s="5" t="s">
        <v>714</v>
      </c>
      <c r="J69" s="2" t="str">
        <f>VLOOKUP(M69,[1]Directorate!$A:$B,2,FALSE)</f>
        <v>Highway Structs R+R</v>
      </c>
      <c r="K69" s="6">
        <f>ROUND(47565.57,2)</f>
        <v>47565.57</v>
      </c>
      <c r="L69" s="2">
        <v>401600</v>
      </c>
      <c r="M69" s="2">
        <v>11975</v>
      </c>
    </row>
    <row r="70" spans="1:13" ht="15.75" x14ac:dyDescent="0.25">
      <c r="A70" s="2" t="s">
        <v>9</v>
      </c>
      <c r="B70" s="2" t="s">
        <v>135</v>
      </c>
      <c r="C70" s="2">
        <v>2</v>
      </c>
      <c r="D70" s="2">
        <v>5276</v>
      </c>
      <c r="E70" s="2" t="s">
        <v>134</v>
      </c>
      <c r="F70" s="2">
        <v>182020</v>
      </c>
      <c r="G70" s="2" t="s">
        <v>727</v>
      </c>
      <c r="H70" s="2" t="s">
        <v>728</v>
      </c>
      <c r="I70" s="5" t="s">
        <v>714</v>
      </c>
      <c r="J70" s="2" t="str">
        <f>VLOOKUP(M70,[1]Directorate!$A:$B,2,FALSE)</f>
        <v>Wheelie Bins</v>
      </c>
      <c r="K70" s="6">
        <f>ROUND(4098,2)</f>
        <v>4098</v>
      </c>
      <c r="L70" s="2">
        <v>400401</v>
      </c>
      <c r="M70" s="2">
        <v>10864</v>
      </c>
    </row>
    <row r="71" spans="1:13" ht="15.75" x14ac:dyDescent="0.25">
      <c r="A71" s="2" t="s">
        <v>17</v>
      </c>
      <c r="B71" s="2" t="s">
        <v>54</v>
      </c>
      <c r="C71" s="2">
        <v>1</v>
      </c>
      <c r="D71" s="2">
        <v>421</v>
      </c>
      <c r="E71" s="2" t="s">
        <v>55</v>
      </c>
      <c r="F71" s="2">
        <v>261500</v>
      </c>
      <c r="G71" s="2" t="s">
        <v>718</v>
      </c>
      <c r="H71" s="2" t="s">
        <v>715</v>
      </c>
      <c r="I71" s="5" t="s">
        <v>705</v>
      </c>
      <c r="J71" s="2" t="str">
        <f>VLOOKUP(M71,[1]Directorate!$A:$B,2,FALSE)</f>
        <v>CYP ASYE</v>
      </c>
      <c r="K71" s="6">
        <f>ROUND(4800,2)</f>
        <v>4800</v>
      </c>
      <c r="L71" s="2">
        <v>401024</v>
      </c>
      <c r="M71" s="2">
        <v>12953</v>
      </c>
    </row>
    <row r="72" spans="1:13" ht="15.75" x14ac:dyDescent="0.25">
      <c r="A72" s="2" t="s">
        <v>17</v>
      </c>
      <c r="B72" s="2" t="s">
        <v>170</v>
      </c>
      <c r="C72" s="2">
        <v>1</v>
      </c>
      <c r="D72" s="2">
        <v>16330</v>
      </c>
      <c r="E72" s="2" t="s">
        <v>171</v>
      </c>
      <c r="F72" s="2">
        <v>370000</v>
      </c>
      <c r="G72" s="2" t="s">
        <v>736</v>
      </c>
      <c r="H72" s="2" t="s">
        <v>737</v>
      </c>
      <c r="I72" s="5" t="s">
        <v>705</v>
      </c>
      <c r="J72" s="2" t="str">
        <f>VLOOKUP(M72,[1]Directorate!$A:$B,2,FALSE)</f>
        <v>Highfields PRU</v>
      </c>
      <c r="K72" s="6">
        <f>ROUND(2525.8,2)</f>
        <v>2525.8000000000002</v>
      </c>
      <c r="L72" s="2">
        <v>200510</v>
      </c>
      <c r="M72" s="2">
        <v>10329</v>
      </c>
    </row>
    <row r="73" spans="1:13" ht="15.75" x14ac:dyDescent="0.25">
      <c r="A73" s="2" t="s">
        <v>17</v>
      </c>
      <c r="B73" s="2" t="s">
        <v>54</v>
      </c>
      <c r="C73" s="2">
        <v>2</v>
      </c>
      <c r="D73" s="2">
        <v>421</v>
      </c>
      <c r="E73" s="2" t="s">
        <v>55</v>
      </c>
      <c r="F73" s="2">
        <v>261500</v>
      </c>
      <c r="G73" s="2" t="s">
        <v>718</v>
      </c>
      <c r="H73" s="2" t="s">
        <v>715</v>
      </c>
      <c r="I73" s="5" t="s">
        <v>705</v>
      </c>
      <c r="J73" s="2" t="str">
        <f>VLOOKUP(M73,[1]Directorate!$A:$B,2,FALSE)</f>
        <v>CYP ASYE</v>
      </c>
      <c r="K73" s="6">
        <f>ROUND(4800,2)</f>
        <v>4800</v>
      </c>
      <c r="L73" s="2">
        <v>401024</v>
      </c>
      <c r="M73" s="2">
        <v>12953</v>
      </c>
    </row>
    <row r="74" spans="1:13" ht="15.75" x14ac:dyDescent="0.25">
      <c r="A74" s="2" t="s">
        <v>17</v>
      </c>
      <c r="B74" s="2" t="s">
        <v>170</v>
      </c>
      <c r="C74" s="2">
        <v>2</v>
      </c>
      <c r="D74" s="2">
        <v>16330</v>
      </c>
      <c r="E74" s="2" t="s">
        <v>171</v>
      </c>
      <c r="F74" s="2">
        <v>370000</v>
      </c>
      <c r="G74" s="2" t="s">
        <v>736</v>
      </c>
      <c r="H74" s="2" t="s">
        <v>737</v>
      </c>
      <c r="I74" s="5" t="s">
        <v>705</v>
      </c>
      <c r="J74" s="2" t="str">
        <f>VLOOKUP(M74,[1]Directorate!$A:$B,2,FALSE)</f>
        <v>Highfields PRU</v>
      </c>
      <c r="K74" s="6">
        <f>ROUND(2504.67,2)</f>
        <v>2504.67</v>
      </c>
      <c r="L74" s="2">
        <v>200510</v>
      </c>
      <c r="M74" s="2">
        <v>10329</v>
      </c>
    </row>
    <row r="75" spans="1:13" ht="15.75" x14ac:dyDescent="0.25">
      <c r="A75" s="2" t="s">
        <v>17</v>
      </c>
      <c r="B75" s="2" t="s">
        <v>170</v>
      </c>
      <c r="C75" s="2">
        <v>3</v>
      </c>
      <c r="D75" s="2">
        <v>16330</v>
      </c>
      <c r="E75" s="2" t="s">
        <v>171</v>
      </c>
      <c r="F75" s="2">
        <v>370000</v>
      </c>
      <c r="G75" s="2" t="s">
        <v>736</v>
      </c>
      <c r="H75" s="2" t="s">
        <v>737</v>
      </c>
      <c r="I75" s="5" t="s">
        <v>705</v>
      </c>
      <c r="J75" s="2" t="str">
        <f>VLOOKUP(M75,[1]Directorate!$A:$B,2,FALSE)</f>
        <v>Highfields PRU</v>
      </c>
      <c r="K75" s="6">
        <f>ROUND(2244.32,2)</f>
        <v>2244.3200000000002</v>
      </c>
      <c r="L75" s="2">
        <v>200510</v>
      </c>
      <c r="M75" s="2">
        <v>10329</v>
      </c>
    </row>
    <row r="76" spans="1:13" ht="15.75" x14ac:dyDescent="0.25">
      <c r="A76" s="2" t="s">
        <v>17</v>
      </c>
      <c r="B76" s="2" t="s">
        <v>170</v>
      </c>
      <c r="C76" s="2">
        <v>4</v>
      </c>
      <c r="D76" s="2">
        <v>16330</v>
      </c>
      <c r="E76" s="2" t="s">
        <v>171</v>
      </c>
      <c r="F76" s="2">
        <v>370000</v>
      </c>
      <c r="G76" s="2" t="s">
        <v>736</v>
      </c>
      <c r="H76" s="2" t="s">
        <v>737</v>
      </c>
      <c r="I76" s="5" t="s">
        <v>705</v>
      </c>
      <c r="J76" s="2" t="str">
        <f>VLOOKUP(M76,[1]Directorate!$A:$B,2,FALSE)</f>
        <v>Highfields PRU</v>
      </c>
      <c r="K76" s="6">
        <f>ROUND(68.93,2)</f>
        <v>68.930000000000007</v>
      </c>
      <c r="L76" s="2">
        <v>200510</v>
      </c>
      <c r="M76" s="2">
        <v>10329</v>
      </c>
    </row>
    <row r="77" spans="1:13" ht="15.75" x14ac:dyDescent="0.25">
      <c r="A77" s="2" t="s">
        <v>73</v>
      </c>
      <c r="B77" s="2" t="s">
        <v>173</v>
      </c>
      <c r="C77" s="2">
        <v>1</v>
      </c>
      <c r="D77" s="2">
        <v>6748</v>
      </c>
      <c r="E77" s="2" t="s">
        <v>11</v>
      </c>
      <c r="F77" s="2">
        <v>390000</v>
      </c>
      <c r="G77" s="2" t="s">
        <v>713</v>
      </c>
      <c r="H77" s="2" t="s">
        <v>713</v>
      </c>
      <c r="I77" s="7" t="s">
        <v>705</v>
      </c>
      <c r="J77" s="2" t="e">
        <f>VLOOKUP(M77,[1]Directorate!$A:$B,2,FALSE)</f>
        <v>#N/A</v>
      </c>
      <c r="K77" s="6">
        <f>ROUND(82687.8,2)</f>
        <v>82687.8</v>
      </c>
      <c r="L77" s="2">
        <v>401600</v>
      </c>
      <c r="M77" s="2" t="s">
        <v>174</v>
      </c>
    </row>
    <row r="78" spans="1:13" ht="15.75" x14ac:dyDescent="0.25">
      <c r="A78" s="2" t="s">
        <v>73</v>
      </c>
      <c r="B78" s="2" t="s">
        <v>178</v>
      </c>
      <c r="C78" s="2">
        <v>1</v>
      </c>
      <c r="D78" s="2">
        <v>12068</v>
      </c>
      <c r="E78" s="2" t="s">
        <v>24</v>
      </c>
      <c r="F78" s="2">
        <v>390000</v>
      </c>
      <c r="G78" s="2" t="s">
        <v>703</v>
      </c>
      <c r="H78" s="2" t="s">
        <v>704</v>
      </c>
      <c r="I78" s="7" t="s">
        <v>705</v>
      </c>
      <c r="J78" s="2" t="e">
        <f>VLOOKUP(M78,[1]Directorate!$A:$B,2,FALSE)</f>
        <v>#N/A</v>
      </c>
      <c r="K78" s="6">
        <f>ROUND(12074.6,2)</f>
        <v>12074.6</v>
      </c>
      <c r="L78" s="2">
        <v>200160</v>
      </c>
      <c r="M78" s="2" t="s">
        <v>179</v>
      </c>
    </row>
    <row r="79" spans="1:13" ht="15.75" x14ac:dyDescent="0.25">
      <c r="A79" s="2" t="s">
        <v>73</v>
      </c>
      <c r="B79" s="2" t="s">
        <v>183</v>
      </c>
      <c r="C79" s="2">
        <v>1</v>
      </c>
      <c r="D79" s="2">
        <v>16327</v>
      </c>
      <c r="E79" s="2" t="s">
        <v>184</v>
      </c>
      <c r="F79" s="2">
        <v>150000</v>
      </c>
      <c r="G79" s="2" t="s">
        <v>716</v>
      </c>
      <c r="H79" s="2" t="s">
        <v>717</v>
      </c>
      <c r="I79" s="5" t="s">
        <v>705</v>
      </c>
      <c r="J79" s="2" t="str">
        <f>VLOOKUP(M79,[1]Directorate!$A:$B,2,FALSE)</f>
        <v>SA Board</v>
      </c>
      <c r="K79" s="6">
        <f>ROUND(7500,2)</f>
        <v>7500</v>
      </c>
      <c r="L79" s="2">
        <v>401020</v>
      </c>
      <c r="M79" s="2">
        <v>12825</v>
      </c>
    </row>
    <row r="80" spans="1:13" ht="15.75" x14ac:dyDescent="0.25">
      <c r="A80" s="2" t="s">
        <v>73</v>
      </c>
      <c r="B80" s="2" t="s">
        <v>185</v>
      </c>
      <c r="C80" s="2">
        <v>1</v>
      </c>
      <c r="D80" s="2">
        <v>1722</v>
      </c>
      <c r="E80" s="2" t="s">
        <v>186</v>
      </c>
      <c r="F80" s="2">
        <v>150000</v>
      </c>
      <c r="G80" s="2" t="s">
        <v>716</v>
      </c>
      <c r="H80" s="2" t="s">
        <v>717</v>
      </c>
      <c r="I80" s="5" t="s">
        <v>705</v>
      </c>
      <c r="J80" s="2" t="str">
        <f>VLOOKUP(M80,[1]Directorate!$A:$B,2,FALSE)</f>
        <v>SEN Specific support</v>
      </c>
      <c r="K80" s="6">
        <f>ROUND(13000.75,2)</f>
        <v>13000.75</v>
      </c>
      <c r="L80" s="2">
        <v>401020</v>
      </c>
      <c r="M80" s="2">
        <v>10300</v>
      </c>
    </row>
    <row r="81" spans="1:13" ht="15.75" x14ac:dyDescent="0.25">
      <c r="A81" s="2" t="s">
        <v>73</v>
      </c>
      <c r="B81" s="2" t="s">
        <v>189</v>
      </c>
      <c r="C81" s="2">
        <v>1</v>
      </c>
      <c r="D81" s="2">
        <v>6967</v>
      </c>
      <c r="E81" s="2" t="s">
        <v>53</v>
      </c>
      <c r="F81" s="2">
        <v>150000</v>
      </c>
      <c r="G81" s="2" t="s">
        <v>716</v>
      </c>
      <c r="H81" s="2" t="s">
        <v>717</v>
      </c>
      <c r="I81" s="7" t="s">
        <v>714</v>
      </c>
      <c r="J81" s="2" t="e">
        <f>VLOOKUP(M81,[1]Directorate!$A:$B,2,FALSE)</f>
        <v>#N/A</v>
      </c>
      <c r="K81" s="6">
        <f>ROUND(55329.84,2)</f>
        <v>55329.84</v>
      </c>
      <c r="L81" s="2">
        <v>401007</v>
      </c>
      <c r="M81" s="2" t="s">
        <v>190</v>
      </c>
    </row>
    <row r="82" spans="1:13" ht="15.75" x14ac:dyDescent="0.25">
      <c r="A82" s="2" t="s">
        <v>73</v>
      </c>
      <c r="B82" s="2" t="s">
        <v>191</v>
      </c>
      <c r="C82" s="2">
        <v>1</v>
      </c>
      <c r="D82" s="2">
        <v>6748</v>
      </c>
      <c r="E82" s="2" t="s">
        <v>11</v>
      </c>
      <c r="F82" s="2">
        <v>390000</v>
      </c>
      <c r="G82" s="2" t="s">
        <v>713</v>
      </c>
      <c r="H82" s="2" t="s">
        <v>713</v>
      </c>
      <c r="I82" s="7" t="s">
        <v>705</v>
      </c>
      <c r="J82" s="2" t="e">
        <f>VLOOKUP(M82,[1]Directorate!$A:$B,2,FALSE)</f>
        <v>#N/A</v>
      </c>
      <c r="K82" s="6">
        <f>ROUND(74617.5,2)</f>
        <v>74617.5</v>
      </c>
      <c r="L82" s="2">
        <v>401600</v>
      </c>
      <c r="M82" s="2" t="s">
        <v>192</v>
      </c>
    </row>
    <row r="83" spans="1:13" ht="15.75" x14ac:dyDescent="0.25">
      <c r="A83" s="2" t="s">
        <v>85</v>
      </c>
      <c r="B83" s="2" t="s">
        <v>196</v>
      </c>
      <c r="C83" s="2">
        <v>1</v>
      </c>
      <c r="D83" s="2">
        <v>14834</v>
      </c>
      <c r="E83" s="2" t="s">
        <v>33</v>
      </c>
      <c r="F83" s="2">
        <v>390000</v>
      </c>
      <c r="G83" s="2" t="s">
        <v>703</v>
      </c>
      <c r="H83" s="2" t="s">
        <v>704</v>
      </c>
      <c r="I83" s="5" t="s">
        <v>705</v>
      </c>
      <c r="J83" s="2" t="str">
        <f>VLOOKUP(M83,[1]Directorate!$A:$B,2,FALSE)</f>
        <v>Highfields PRU</v>
      </c>
      <c r="K83" s="6">
        <f>ROUND(5131,2)</f>
        <v>5131</v>
      </c>
      <c r="L83" s="2">
        <v>200160</v>
      </c>
      <c r="M83" s="2">
        <v>10329</v>
      </c>
    </row>
    <row r="84" spans="1:13" ht="15.75" x14ac:dyDescent="0.25">
      <c r="A84" s="2" t="s">
        <v>85</v>
      </c>
      <c r="B84" s="2" t="s">
        <v>201</v>
      </c>
      <c r="C84" s="2">
        <v>1</v>
      </c>
      <c r="D84" s="2">
        <v>14063</v>
      </c>
      <c r="E84" s="2" t="s">
        <v>105</v>
      </c>
      <c r="F84" s="2">
        <v>150000</v>
      </c>
      <c r="G84" s="2" t="s">
        <v>716</v>
      </c>
      <c r="H84" s="2" t="s">
        <v>717</v>
      </c>
      <c r="I84" s="5" t="s">
        <v>705</v>
      </c>
      <c r="J84" s="2" t="str">
        <f>VLOOKUP(M84,[1]Directorate!$A:$B,2,FALSE)</f>
        <v>GO/HG Client spend</v>
      </c>
      <c r="K84" s="6">
        <f>ROUND(10000,2)</f>
        <v>10000</v>
      </c>
      <c r="L84" s="2">
        <v>401020</v>
      </c>
      <c r="M84" s="2">
        <v>13147</v>
      </c>
    </row>
    <row r="85" spans="1:13" ht="15.75" x14ac:dyDescent="0.25">
      <c r="A85" s="2" t="s">
        <v>85</v>
      </c>
      <c r="B85" s="2" t="s">
        <v>202</v>
      </c>
      <c r="C85" s="2">
        <v>1</v>
      </c>
      <c r="D85" s="2">
        <v>7889</v>
      </c>
      <c r="E85" s="2" t="s">
        <v>203</v>
      </c>
      <c r="F85" s="2">
        <v>390000</v>
      </c>
      <c r="G85" s="2" t="s">
        <v>703</v>
      </c>
      <c r="H85" s="2" t="s">
        <v>726</v>
      </c>
      <c r="I85" s="7" t="s">
        <v>702</v>
      </c>
      <c r="J85" s="2" t="e">
        <f>VLOOKUP(M85,[1]Directorate!$A:$B,2,FALSE)</f>
        <v>#N/A</v>
      </c>
      <c r="K85" s="6">
        <f>ROUND(5570,2)</f>
        <v>5570</v>
      </c>
      <c r="L85" s="2">
        <v>200311</v>
      </c>
      <c r="M85" s="2" t="s">
        <v>204</v>
      </c>
    </row>
    <row r="86" spans="1:13" ht="15.75" x14ac:dyDescent="0.25">
      <c r="A86" s="2" t="s">
        <v>85</v>
      </c>
      <c r="B86" s="2" t="s">
        <v>206</v>
      </c>
      <c r="C86" s="2">
        <v>1</v>
      </c>
      <c r="D86" s="2">
        <v>12193</v>
      </c>
      <c r="E86" s="2" t="s">
        <v>207</v>
      </c>
      <c r="F86" s="2">
        <v>999999</v>
      </c>
      <c r="G86" s="2" t="s">
        <v>715</v>
      </c>
      <c r="H86" s="2" t="s">
        <v>715</v>
      </c>
      <c r="I86" s="5" t="s">
        <v>705</v>
      </c>
      <c r="J86" s="2" t="str">
        <f>VLOOKUP(M86,[1]Directorate!$A:$B,2,FALSE)</f>
        <v>SF Senior Management</v>
      </c>
      <c r="K86" s="6">
        <f>ROUND(25000,2)</f>
        <v>25000</v>
      </c>
      <c r="L86" s="2">
        <v>402404</v>
      </c>
      <c r="M86" s="2">
        <v>11486</v>
      </c>
    </row>
    <row r="87" spans="1:13" ht="15.75" x14ac:dyDescent="0.25">
      <c r="A87" s="2" t="s">
        <v>85</v>
      </c>
      <c r="B87" s="2" t="s">
        <v>208</v>
      </c>
      <c r="C87" s="2">
        <v>1</v>
      </c>
      <c r="D87" s="2">
        <v>10796</v>
      </c>
      <c r="E87" s="2" t="s">
        <v>209</v>
      </c>
      <c r="F87" s="2">
        <v>191600</v>
      </c>
      <c r="G87" s="2" t="s">
        <v>738</v>
      </c>
      <c r="H87" s="2" t="s">
        <v>739</v>
      </c>
      <c r="I87" s="5" t="s">
        <v>714</v>
      </c>
      <c r="J87" s="2" t="str">
        <f>VLOOKUP(M87,[1]Directorate!$A:$B,2,FALSE)</f>
        <v>Crewe-Manchester RP</v>
      </c>
      <c r="K87" s="6">
        <f>ROUND(3732,2)</f>
        <v>3732</v>
      </c>
      <c r="L87" s="2">
        <v>400800</v>
      </c>
      <c r="M87" s="2">
        <v>10083</v>
      </c>
    </row>
    <row r="88" spans="1:13" ht="15.75" x14ac:dyDescent="0.25">
      <c r="A88" s="2" t="s">
        <v>85</v>
      </c>
      <c r="B88" s="2" t="s">
        <v>208</v>
      </c>
      <c r="C88" s="2">
        <v>1</v>
      </c>
      <c r="D88" s="2">
        <v>10796</v>
      </c>
      <c r="E88" s="2" t="s">
        <v>209</v>
      </c>
      <c r="F88" s="2">
        <v>191600</v>
      </c>
      <c r="G88" s="2" t="s">
        <v>738</v>
      </c>
      <c r="H88" s="2" t="s">
        <v>739</v>
      </c>
      <c r="I88" s="5" t="s">
        <v>714</v>
      </c>
      <c r="J88" s="2" t="str">
        <f>VLOOKUP(M88,[1]Directorate!$A:$B,2,FALSE)</f>
        <v>South M/cr RP</v>
      </c>
      <c r="K88" s="6">
        <f>ROUND(3732,2)</f>
        <v>3732</v>
      </c>
      <c r="L88" s="2">
        <v>400800</v>
      </c>
      <c r="M88" s="2">
        <v>10890</v>
      </c>
    </row>
    <row r="89" spans="1:13" ht="15.75" x14ac:dyDescent="0.25">
      <c r="A89" s="2" t="s">
        <v>85</v>
      </c>
      <c r="B89" s="2" t="s">
        <v>210</v>
      </c>
      <c r="C89" s="2">
        <v>1</v>
      </c>
      <c r="D89" s="2">
        <v>13860</v>
      </c>
      <c r="E89" s="2" t="s">
        <v>211</v>
      </c>
      <c r="F89" s="2">
        <v>150000</v>
      </c>
      <c r="G89" s="2" t="s">
        <v>716</v>
      </c>
      <c r="H89" s="2" t="s">
        <v>717</v>
      </c>
      <c r="I89" s="5" t="s">
        <v>714</v>
      </c>
      <c r="J89" s="2" t="str">
        <f>VLOOKUP(M89,[1]Directorate!$A:$B,2,FALSE)</f>
        <v>Property Client Acct</v>
      </c>
      <c r="K89" s="6">
        <f>ROUND(6300,2)</f>
        <v>6300</v>
      </c>
      <c r="L89" s="2">
        <v>401020</v>
      </c>
      <c r="M89" s="2">
        <v>11137</v>
      </c>
    </row>
    <row r="90" spans="1:13" ht="15.75" x14ac:dyDescent="0.25">
      <c r="A90" s="2" t="s">
        <v>85</v>
      </c>
      <c r="B90" s="2" t="s">
        <v>213</v>
      </c>
      <c r="C90" s="2">
        <v>1</v>
      </c>
      <c r="D90" s="2">
        <v>6748</v>
      </c>
      <c r="E90" s="2" t="s">
        <v>11</v>
      </c>
      <c r="F90" s="2">
        <v>390000</v>
      </c>
      <c r="G90" s="2" t="s">
        <v>713</v>
      </c>
      <c r="H90" s="2" t="s">
        <v>713</v>
      </c>
      <c r="I90" s="7" t="s">
        <v>705</v>
      </c>
      <c r="J90" s="2" t="e">
        <f>VLOOKUP(M90,[1]Directorate!$A:$B,2,FALSE)</f>
        <v>#N/A</v>
      </c>
      <c r="K90" s="6">
        <f>ROUND(26286.05,2)</f>
        <v>26286.05</v>
      </c>
      <c r="L90" s="2">
        <v>401600</v>
      </c>
      <c r="M90" s="2" t="s">
        <v>214</v>
      </c>
    </row>
    <row r="91" spans="1:13" ht="15.75" x14ac:dyDescent="0.25">
      <c r="A91" s="2" t="s">
        <v>85</v>
      </c>
      <c r="B91" s="2" t="s">
        <v>215</v>
      </c>
      <c r="C91" s="2">
        <v>1</v>
      </c>
      <c r="D91" s="2">
        <v>6748</v>
      </c>
      <c r="E91" s="2" t="s">
        <v>11</v>
      </c>
      <c r="F91" s="2">
        <v>390000</v>
      </c>
      <c r="G91" s="2" t="s">
        <v>713</v>
      </c>
      <c r="H91" s="2" t="s">
        <v>713</v>
      </c>
      <c r="I91" s="7" t="s">
        <v>705</v>
      </c>
      <c r="J91" s="2" t="e">
        <f>VLOOKUP(M91,[1]Directorate!$A:$B,2,FALSE)</f>
        <v>#N/A</v>
      </c>
      <c r="K91" s="6">
        <f>ROUND(51706.5,2)</f>
        <v>51706.5</v>
      </c>
      <c r="L91" s="2">
        <v>401600</v>
      </c>
      <c r="M91" s="2" t="s">
        <v>216</v>
      </c>
    </row>
    <row r="92" spans="1:13" ht="15.75" x14ac:dyDescent="0.25">
      <c r="A92" s="2" t="s">
        <v>85</v>
      </c>
      <c r="B92" s="2" t="s">
        <v>196</v>
      </c>
      <c r="C92" s="2">
        <v>2</v>
      </c>
      <c r="D92" s="2">
        <v>14834</v>
      </c>
      <c r="E92" s="2" t="s">
        <v>33</v>
      </c>
      <c r="F92" s="2">
        <v>390000</v>
      </c>
      <c r="G92" s="2" t="s">
        <v>703</v>
      </c>
      <c r="H92" s="2" t="s">
        <v>704</v>
      </c>
      <c r="I92" s="5" t="s">
        <v>705</v>
      </c>
      <c r="J92" s="2" t="str">
        <f>VLOOKUP(M92,[1]Directorate!$A:$B,2,FALSE)</f>
        <v>Highfields PRU</v>
      </c>
      <c r="K92" s="6">
        <f>ROUND(1409,2)</f>
        <v>1409</v>
      </c>
      <c r="L92" s="2">
        <v>200160</v>
      </c>
      <c r="M92" s="2">
        <v>10329</v>
      </c>
    </row>
    <row r="93" spans="1:13" ht="15.75" x14ac:dyDescent="0.25">
      <c r="A93" s="2" t="s">
        <v>85</v>
      </c>
      <c r="B93" s="2" t="s">
        <v>208</v>
      </c>
      <c r="C93" s="2">
        <v>2</v>
      </c>
      <c r="D93" s="2">
        <v>10796</v>
      </c>
      <c r="E93" s="2" t="s">
        <v>209</v>
      </c>
      <c r="F93" s="2">
        <v>191600</v>
      </c>
      <c r="G93" s="2" t="s">
        <v>738</v>
      </c>
      <c r="H93" s="2" t="s">
        <v>739</v>
      </c>
      <c r="I93" s="5" t="s">
        <v>714</v>
      </c>
      <c r="J93" s="2" t="str">
        <f>VLOOKUP(M93,[1]Directorate!$A:$B,2,FALSE)</f>
        <v>Crewe-Manchester RP</v>
      </c>
      <c r="K93" s="6">
        <f>ROUND(150,2)</f>
        <v>150</v>
      </c>
      <c r="L93" s="2">
        <v>400800</v>
      </c>
      <c r="M93" s="2">
        <v>10083</v>
      </c>
    </row>
    <row r="94" spans="1:13" ht="15.75" x14ac:dyDescent="0.25">
      <c r="A94" s="2" t="s">
        <v>85</v>
      </c>
      <c r="B94" s="2" t="s">
        <v>208</v>
      </c>
      <c r="C94" s="2">
        <v>2</v>
      </c>
      <c r="D94" s="2">
        <v>10796</v>
      </c>
      <c r="E94" s="2" t="s">
        <v>209</v>
      </c>
      <c r="F94" s="2">
        <v>191600</v>
      </c>
      <c r="G94" s="2" t="s">
        <v>738</v>
      </c>
      <c r="H94" s="2" t="s">
        <v>739</v>
      </c>
      <c r="I94" s="5" t="s">
        <v>714</v>
      </c>
      <c r="J94" s="2" t="str">
        <f>VLOOKUP(M94,[1]Directorate!$A:$B,2,FALSE)</f>
        <v>South M/cr RP</v>
      </c>
      <c r="K94" s="6">
        <f>ROUND(150,2)</f>
        <v>150</v>
      </c>
      <c r="L94" s="2">
        <v>400800</v>
      </c>
      <c r="M94" s="2">
        <v>10890</v>
      </c>
    </row>
    <row r="95" spans="1:13" ht="15.75" x14ac:dyDescent="0.25">
      <c r="A95" s="2" t="s">
        <v>127</v>
      </c>
      <c r="B95" s="2" t="s">
        <v>126</v>
      </c>
      <c r="C95" s="2">
        <v>1</v>
      </c>
      <c r="D95" s="2">
        <v>6748</v>
      </c>
      <c r="E95" s="2" t="s">
        <v>11</v>
      </c>
      <c r="F95" s="2">
        <v>390000</v>
      </c>
      <c r="G95" s="2" t="s">
        <v>703</v>
      </c>
      <c r="H95" s="2" t="s">
        <v>726</v>
      </c>
      <c r="I95" s="7" t="s">
        <v>714</v>
      </c>
      <c r="J95" s="2" t="e">
        <f>VLOOKUP(M95,[1]Directorate!$A:$B,2,FALSE)</f>
        <v>#N/A</v>
      </c>
      <c r="K95" s="6">
        <f>ROUND(150985.45,2)</f>
        <v>150985.45000000001</v>
      </c>
      <c r="L95" s="2">
        <v>200304</v>
      </c>
      <c r="M95" s="2" t="s">
        <v>128</v>
      </c>
    </row>
    <row r="96" spans="1:13" ht="15.75" x14ac:dyDescent="0.25">
      <c r="A96" s="2" t="s">
        <v>127</v>
      </c>
      <c r="B96" s="2" t="s">
        <v>138</v>
      </c>
      <c r="C96" s="2">
        <v>1</v>
      </c>
      <c r="D96" s="2">
        <v>3529</v>
      </c>
      <c r="E96" s="2" t="s">
        <v>20</v>
      </c>
      <c r="F96" s="2">
        <v>390000</v>
      </c>
      <c r="G96" s="2" t="s">
        <v>713</v>
      </c>
      <c r="H96" s="2" t="s">
        <v>713</v>
      </c>
      <c r="I96" s="7" t="s">
        <v>702</v>
      </c>
      <c r="J96" s="2" t="e">
        <f>VLOOKUP(M96,[1]Directorate!$A:$B,2,FALSE)</f>
        <v>#N/A</v>
      </c>
      <c r="K96" s="6">
        <f>ROUND(15040,2)</f>
        <v>15040</v>
      </c>
      <c r="L96" s="2">
        <v>401600</v>
      </c>
      <c r="M96" s="2" t="s">
        <v>139</v>
      </c>
    </row>
    <row r="97" spans="1:13" ht="15.75" x14ac:dyDescent="0.25">
      <c r="A97" s="2" t="s">
        <v>127</v>
      </c>
      <c r="B97" s="2" t="s">
        <v>176</v>
      </c>
      <c r="C97" s="2">
        <v>1</v>
      </c>
      <c r="D97" s="2">
        <v>8010</v>
      </c>
      <c r="E97" s="2" t="s">
        <v>177</v>
      </c>
      <c r="F97" s="2">
        <v>240000</v>
      </c>
      <c r="G97" s="2" t="s">
        <v>711</v>
      </c>
      <c r="H97" s="2" t="s">
        <v>712</v>
      </c>
      <c r="I97" s="7" t="s">
        <v>714</v>
      </c>
      <c r="J97" s="2" t="e">
        <f>VLOOKUP(M97,[1]Directorate!$A:$B,2,FALSE)</f>
        <v>#N/A</v>
      </c>
      <c r="K97" s="6">
        <f>ROUND(9549,2)</f>
        <v>9549</v>
      </c>
      <c r="L97" s="2">
        <v>202032</v>
      </c>
      <c r="M97" s="2" t="s">
        <v>82</v>
      </c>
    </row>
    <row r="98" spans="1:13" ht="15.75" x14ac:dyDescent="0.25">
      <c r="A98" s="2" t="s">
        <v>127</v>
      </c>
      <c r="B98" s="2" t="s">
        <v>193</v>
      </c>
      <c r="C98" s="2">
        <v>1</v>
      </c>
      <c r="D98" s="2">
        <v>8233</v>
      </c>
      <c r="E98" s="2" t="s">
        <v>194</v>
      </c>
      <c r="F98" s="2">
        <v>182020</v>
      </c>
      <c r="G98" s="2" t="s">
        <v>727</v>
      </c>
      <c r="H98" s="2" t="s">
        <v>728</v>
      </c>
      <c r="I98" s="5" t="s">
        <v>714</v>
      </c>
      <c r="J98" s="2" t="str">
        <f>VLOOKUP(M98,[1]Directorate!$A:$B,2,FALSE)</f>
        <v>Wheelie Bins</v>
      </c>
      <c r="K98" s="6">
        <f>ROUND(15456,2)</f>
        <v>15456</v>
      </c>
      <c r="L98" s="2">
        <v>400401</v>
      </c>
      <c r="M98" s="2">
        <v>10864</v>
      </c>
    </row>
    <row r="99" spans="1:13" ht="15.75" x14ac:dyDescent="0.25">
      <c r="A99" s="2" t="s">
        <v>127</v>
      </c>
      <c r="B99" s="2" t="s">
        <v>227</v>
      </c>
      <c r="C99" s="2">
        <v>1</v>
      </c>
      <c r="D99" s="2">
        <v>4708</v>
      </c>
      <c r="E99" s="2" t="s">
        <v>149</v>
      </c>
      <c r="F99" s="2">
        <v>390000</v>
      </c>
      <c r="G99" s="2" t="s">
        <v>703</v>
      </c>
      <c r="H99" s="2" t="s">
        <v>704</v>
      </c>
      <c r="I99" s="5" t="s">
        <v>714</v>
      </c>
      <c r="J99" s="2" t="str">
        <f>VLOOKUP(M99,[1]Directorate!$A:$B,2,FALSE)</f>
        <v>StockportArt Gallery</v>
      </c>
      <c r="K99" s="6">
        <f>ROUND(9181.94,2)</f>
        <v>9181.94</v>
      </c>
      <c r="L99" s="2">
        <v>200123</v>
      </c>
      <c r="M99" s="2">
        <v>11378</v>
      </c>
    </row>
    <row r="100" spans="1:13" ht="15.75" x14ac:dyDescent="0.25">
      <c r="A100" s="2" t="s">
        <v>144</v>
      </c>
      <c r="B100" s="2" t="s">
        <v>154</v>
      </c>
      <c r="C100" s="2">
        <v>1</v>
      </c>
      <c r="D100" s="2">
        <v>1644</v>
      </c>
      <c r="E100" s="2" t="s">
        <v>155</v>
      </c>
      <c r="F100" s="2">
        <v>200000</v>
      </c>
      <c r="G100" s="2" t="s">
        <v>740</v>
      </c>
      <c r="H100" s="2" t="s">
        <v>715</v>
      </c>
      <c r="I100" s="5" t="s">
        <v>702</v>
      </c>
      <c r="J100" s="2" t="str">
        <f>VLOOKUP(M100,[1]Directorate!$A:$B,2,FALSE)</f>
        <v>IT Main</v>
      </c>
      <c r="K100" s="6">
        <f>ROUND(8330,2)</f>
        <v>8330</v>
      </c>
      <c r="L100" s="2">
        <v>402401</v>
      </c>
      <c r="M100" s="2">
        <v>11073</v>
      </c>
    </row>
    <row r="101" spans="1:13" ht="15.75" x14ac:dyDescent="0.25">
      <c r="A101" s="2" t="s">
        <v>144</v>
      </c>
      <c r="B101" s="2" t="s">
        <v>219</v>
      </c>
      <c r="C101" s="2">
        <v>1</v>
      </c>
      <c r="D101" s="2">
        <v>10337</v>
      </c>
      <c r="E101" s="2" t="s">
        <v>169</v>
      </c>
      <c r="F101" s="2">
        <v>320000</v>
      </c>
      <c r="G101" s="2" t="s">
        <v>741</v>
      </c>
      <c r="H101" s="2" t="s">
        <v>742</v>
      </c>
      <c r="I101" s="5" t="s">
        <v>705</v>
      </c>
      <c r="J101" s="2" t="str">
        <f>VLOOKUP(M101,[1]Directorate!$A:$B,2,FALSE)</f>
        <v>SC - Signpost</v>
      </c>
      <c r="K101" s="6">
        <f>ROUND(174471.44,2)</f>
        <v>174471.44</v>
      </c>
      <c r="L101" s="2">
        <v>500530</v>
      </c>
      <c r="M101" s="2">
        <v>11419</v>
      </c>
    </row>
    <row r="102" spans="1:13" ht="15.75" x14ac:dyDescent="0.25">
      <c r="A102" s="2" t="s">
        <v>144</v>
      </c>
      <c r="B102" s="2" t="s">
        <v>220</v>
      </c>
      <c r="C102" s="2">
        <v>1</v>
      </c>
      <c r="D102" s="2">
        <v>7025</v>
      </c>
      <c r="E102" s="2" t="s">
        <v>221</v>
      </c>
      <c r="F102" s="2">
        <v>150000</v>
      </c>
      <c r="G102" s="2" t="s">
        <v>716</v>
      </c>
      <c r="H102" s="2" t="s">
        <v>717</v>
      </c>
      <c r="I102" s="5" t="s">
        <v>714</v>
      </c>
      <c r="J102" s="2" t="str">
        <f>VLOOKUP(M102,[1]Directorate!$A:$B,2,FALSE)</f>
        <v>Property Client Acct</v>
      </c>
      <c r="K102" s="6">
        <f>ROUND(7512,2)</f>
        <v>7512</v>
      </c>
      <c r="L102" s="2">
        <v>401020</v>
      </c>
      <c r="M102" s="2">
        <v>11137</v>
      </c>
    </row>
    <row r="103" spans="1:13" ht="15.75" x14ac:dyDescent="0.25">
      <c r="A103" s="2" t="s">
        <v>144</v>
      </c>
      <c r="B103" s="2" t="s">
        <v>229</v>
      </c>
      <c r="C103" s="2">
        <v>1</v>
      </c>
      <c r="D103" s="2">
        <v>544</v>
      </c>
      <c r="E103" s="2" t="s">
        <v>161</v>
      </c>
      <c r="F103" s="2">
        <v>270000</v>
      </c>
      <c r="G103" s="2" t="s">
        <v>724</v>
      </c>
      <c r="H103" s="2" t="s">
        <v>725</v>
      </c>
      <c r="I103" s="5" t="s">
        <v>702</v>
      </c>
      <c r="J103" s="2" t="str">
        <f>VLOOKUP(M103,[1]Directorate!$A:$B,2,FALSE)</f>
        <v>IT Main</v>
      </c>
      <c r="K103" s="6">
        <f>ROUND(620,2)</f>
        <v>620</v>
      </c>
      <c r="L103" s="2">
        <v>402010</v>
      </c>
      <c r="M103" s="2">
        <v>11073</v>
      </c>
    </row>
    <row r="104" spans="1:13" ht="15.75" x14ac:dyDescent="0.25">
      <c r="A104" s="2" t="s">
        <v>144</v>
      </c>
      <c r="B104" s="2" t="s">
        <v>230</v>
      </c>
      <c r="C104" s="2">
        <v>1</v>
      </c>
      <c r="D104" s="2">
        <v>10897</v>
      </c>
      <c r="E104" s="2" t="s">
        <v>21</v>
      </c>
      <c r="F104" s="2">
        <v>192200</v>
      </c>
      <c r="G104" s="2" t="s">
        <v>743</v>
      </c>
      <c r="H104" s="2" t="s">
        <v>744</v>
      </c>
      <c r="I104" s="5" t="s">
        <v>714</v>
      </c>
      <c r="J104" s="2" t="str">
        <f>VLOOKUP(M104,[1]Directorate!$A:$B,2,FALSE)</f>
        <v>Property Client Acct</v>
      </c>
      <c r="K104" s="6">
        <f>ROUND(27784.72,2)</f>
        <v>27784.720000000001</v>
      </c>
      <c r="L104" s="2">
        <v>201204</v>
      </c>
      <c r="M104" s="2">
        <v>11137</v>
      </c>
    </row>
    <row r="105" spans="1:13" ht="15.75" x14ac:dyDescent="0.25">
      <c r="A105" s="2" t="s">
        <v>144</v>
      </c>
      <c r="B105" s="2" t="s">
        <v>234</v>
      </c>
      <c r="C105" s="2">
        <v>1</v>
      </c>
      <c r="D105" s="2">
        <v>1339</v>
      </c>
      <c r="E105" s="2" t="s">
        <v>158</v>
      </c>
      <c r="F105" s="2">
        <v>310000</v>
      </c>
      <c r="G105" s="2" t="s">
        <v>745</v>
      </c>
      <c r="H105" s="2" t="s">
        <v>746</v>
      </c>
      <c r="I105" s="5" t="s">
        <v>705</v>
      </c>
      <c r="J105" s="2" t="str">
        <f>VLOOKUP(M105,[1]Directorate!$A:$B,2,FALSE)</f>
        <v>SF Senior Management</v>
      </c>
      <c r="K105" s="6">
        <f>ROUND(85300,2)</f>
        <v>85300</v>
      </c>
      <c r="L105" s="2">
        <v>500402</v>
      </c>
      <c r="M105" s="2">
        <v>11486</v>
      </c>
    </row>
    <row r="106" spans="1:13" ht="15.75" x14ac:dyDescent="0.25">
      <c r="A106" s="2" t="s">
        <v>144</v>
      </c>
      <c r="B106" s="2" t="s">
        <v>240</v>
      </c>
      <c r="C106" s="2">
        <v>1</v>
      </c>
      <c r="D106" s="2">
        <v>1222</v>
      </c>
      <c r="E106" s="2" t="s">
        <v>241</v>
      </c>
      <c r="F106" s="2">
        <v>240000</v>
      </c>
      <c r="G106" s="2" t="s">
        <v>711</v>
      </c>
      <c r="H106" s="2" t="s">
        <v>712</v>
      </c>
      <c r="I106" s="7" t="s">
        <v>714</v>
      </c>
      <c r="J106" s="2" t="e">
        <f>VLOOKUP(M106,[1]Directorate!$A:$B,2,FALSE)</f>
        <v>#N/A</v>
      </c>
      <c r="K106" s="6">
        <f>ROUND(67614.09,2)</f>
        <v>67614.09</v>
      </c>
      <c r="L106" s="2">
        <v>202032</v>
      </c>
      <c r="M106" s="2" t="s">
        <v>82</v>
      </c>
    </row>
    <row r="107" spans="1:13" ht="15.75" x14ac:dyDescent="0.25">
      <c r="A107" s="2" t="s">
        <v>144</v>
      </c>
      <c r="B107" s="2" t="s">
        <v>242</v>
      </c>
      <c r="C107" s="2">
        <v>1</v>
      </c>
      <c r="D107" s="2">
        <v>7613</v>
      </c>
      <c r="E107" s="2" t="s">
        <v>243</v>
      </c>
      <c r="F107" s="2">
        <v>190000</v>
      </c>
      <c r="G107" s="2" t="s">
        <v>747</v>
      </c>
      <c r="H107" s="2" t="s">
        <v>710</v>
      </c>
      <c r="I107" s="7" t="s">
        <v>702</v>
      </c>
      <c r="J107" s="2" t="e">
        <f>VLOOKUP(M107,[1]Directorate!$A:$B,2,FALSE)</f>
        <v>#N/A</v>
      </c>
      <c r="K107" s="6">
        <f>ROUND(6958.64,2)</f>
        <v>6958.64</v>
      </c>
      <c r="L107" s="2">
        <v>400712</v>
      </c>
      <c r="M107" s="2" t="s">
        <v>180</v>
      </c>
    </row>
    <row r="108" spans="1:13" ht="15.75" x14ac:dyDescent="0.25">
      <c r="A108" s="2" t="s">
        <v>144</v>
      </c>
      <c r="B108" s="2" t="s">
        <v>246</v>
      </c>
      <c r="C108" s="2">
        <v>1</v>
      </c>
      <c r="D108" s="2">
        <v>8233</v>
      </c>
      <c r="E108" s="2" t="s">
        <v>194</v>
      </c>
      <c r="F108" s="2">
        <v>182020</v>
      </c>
      <c r="G108" s="2" t="s">
        <v>727</v>
      </c>
      <c r="H108" s="2" t="s">
        <v>728</v>
      </c>
      <c r="I108" s="5" t="s">
        <v>714</v>
      </c>
      <c r="J108" s="2" t="str">
        <f>VLOOKUP(M108,[1]Directorate!$A:$B,2,FALSE)</f>
        <v>Wheelie Bins</v>
      </c>
      <c r="K108" s="6">
        <f>ROUND(15456,2)</f>
        <v>15456</v>
      </c>
      <c r="L108" s="2">
        <v>400401</v>
      </c>
      <c r="M108" s="2">
        <v>10864</v>
      </c>
    </row>
    <row r="109" spans="1:13" ht="15.75" x14ac:dyDescent="0.25">
      <c r="A109" s="2" t="s">
        <v>144</v>
      </c>
      <c r="B109" s="2" t="s">
        <v>229</v>
      </c>
      <c r="C109" s="2">
        <v>2</v>
      </c>
      <c r="D109" s="2">
        <v>544</v>
      </c>
      <c r="E109" s="2" t="s">
        <v>161</v>
      </c>
      <c r="F109" s="2">
        <v>270000</v>
      </c>
      <c r="G109" s="2" t="s">
        <v>724</v>
      </c>
      <c r="H109" s="2" t="s">
        <v>725</v>
      </c>
      <c r="I109" s="5" t="s">
        <v>702</v>
      </c>
      <c r="J109" s="2" t="str">
        <f>VLOOKUP(M109,[1]Directorate!$A:$B,2,FALSE)</f>
        <v>IT Main</v>
      </c>
      <c r="K109" s="6">
        <f>ROUND(1240,2)</f>
        <v>1240</v>
      </c>
      <c r="L109" s="2">
        <v>402010</v>
      </c>
      <c r="M109" s="2">
        <v>11073</v>
      </c>
    </row>
    <row r="110" spans="1:13" ht="15.75" x14ac:dyDescent="0.25">
      <c r="A110" s="2" t="s">
        <v>144</v>
      </c>
      <c r="B110" s="2" t="s">
        <v>229</v>
      </c>
      <c r="C110" s="2">
        <v>3</v>
      </c>
      <c r="D110" s="2">
        <v>544</v>
      </c>
      <c r="E110" s="2" t="s">
        <v>161</v>
      </c>
      <c r="F110" s="2">
        <v>270000</v>
      </c>
      <c r="G110" s="2" t="s">
        <v>724</v>
      </c>
      <c r="H110" s="2" t="s">
        <v>725</v>
      </c>
      <c r="I110" s="5" t="s">
        <v>702</v>
      </c>
      <c r="J110" s="2" t="str">
        <f>VLOOKUP(M110,[1]Directorate!$A:$B,2,FALSE)</f>
        <v>IT Main</v>
      </c>
      <c r="K110" s="6">
        <f>ROUND(620,2)</f>
        <v>620</v>
      </c>
      <c r="L110" s="2">
        <v>402010</v>
      </c>
      <c r="M110" s="2">
        <v>11073</v>
      </c>
    </row>
    <row r="111" spans="1:13" ht="15.75" x14ac:dyDescent="0.25">
      <c r="A111" s="2" t="s">
        <v>144</v>
      </c>
      <c r="B111" s="2" t="s">
        <v>229</v>
      </c>
      <c r="C111" s="2">
        <v>4</v>
      </c>
      <c r="D111" s="2">
        <v>544</v>
      </c>
      <c r="E111" s="2" t="s">
        <v>161</v>
      </c>
      <c r="F111" s="2">
        <v>270000</v>
      </c>
      <c r="G111" s="2" t="s">
        <v>724</v>
      </c>
      <c r="H111" s="2" t="s">
        <v>725</v>
      </c>
      <c r="I111" s="5" t="s">
        <v>702</v>
      </c>
      <c r="J111" s="2" t="str">
        <f>VLOOKUP(M111,[1]Directorate!$A:$B,2,FALSE)</f>
        <v>IT Main</v>
      </c>
      <c r="K111" s="6">
        <f>ROUND(7257.6,2)</f>
        <v>7257.6</v>
      </c>
      <c r="L111" s="2">
        <v>402010</v>
      </c>
      <c r="M111" s="2">
        <v>11073</v>
      </c>
    </row>
    <row r="112" spans="1:13" ht="15.75" x14ac:dyDescent="0.25">
      <c r="A112" s="2" t="s">
        <v>144</v>
      </c>
      <c r="B112" s="2" t="s">
        <v>229</v>
      </c>
      <c r="C112" s="2">
        <v>5</v>
      </c>
      <c r="D112" s="2">
        <v>544</v>
      </c>
      <c r="E112" s="2" t="s">
        <v>161</v>
      </c>
      <c r="F112" s="2">
        <v>270000</v>
      </c>
      <c r="G112" s="2" t="s">
        <v>724</v>
      </c>
      <c r="H112" s="2" t="s">
        <v>725</v>
      </c>
      <c r="I112" s="5" t="s">
        <v>702</v>
      </c>
      <c r="J112" s="2" t="str">
        <f>VLOOKUP(M112,[1]Directorate!$A:$B,2,FALSE)</f>
        <v>IT Main</v>
      </c>
      <c r="K112" s="6">
        <f>ROUND(26114.4,2)</f>
        <v>26114.400000000001</v>
      </c>
      <c r="L112" s="2">
        <v>402010</v>
      </c>
      <c r="M112" s="2">
        <v>11073</v>
      </c>
    </row>
    <row r="113" spans="1:13" ht="15.75" x14ac:dyDescent="0.25">
      <c r="A113" s="2" t="s">
        <v>167</v>
      </c>
      <c r="B113" s="2" t="s">
        <v>244</v>
      </c>
      <c r="C113" s="2">
        <v>1</v>
      </c>
      <c r="D113" s="2">
        <v>12193</v>
      </c>
      <c r="E113" s="2" t="s">
        <v>207</v>
      </c>
      <c r="F113" s="2">
        <v>390000</v>
      </c>
      <c r="G113" s="2" t="s">
        <v>713</v>
      </c>
      <c r="H113" s="2" t="s">
        <v>713</v>
      </c>
      <c r="I113" s="7" t="s">
        <v>714</v>
      </c>
      <c r="J113" s="2" t="e">
        <f>VLOOKUP(M113,[1]Directorate!$A:$B,2,FALSE)</f>
        <v>#N/A</v>
      </c>
      <c r="K113" s="6">
        <f>ROUND(10005,2)</f>
        <v>10005</v>
      </c>
      <c r="L113" s="2">
        <v>401600</v>
      </c>
      <c r="M113" s="2" t="s">
        <v>245</v>
      </c>
    </row>
    <row r="114" spans="1:13" ht="15.75" x14ac:dyDescent="0.25">
      <c r="A114" s="2" t="s">
        <v>167</v>
      </c>
      <c r="B114" s="2" t="s">
        <v>247</v>
      </c>
      <c r="C114" s="2">
        <v>1</v>
      </c>
      <c r="D114" s="2">
        <v>13002</v>
      </c>
      <c r="E114" s="2" t="s">
        <v>248</v>
      </c>
      <c r="F114" s="2">
        <v>150000</v>
      </c>
      <c r="G114" s="2" t="s">
        <v>716</v>
      </c>
      <c r="H114" s="2" t="s">
        <v>717</v>
      </c>
      <c r="I114" s="5" t="s">
        <v>705</v>
      </c>
      <c r="J114" s="2" t="str">
        <f>VLOOKUP(M114,[1]Directorate!$A:$B,2,FALSE)</f>
        <v>SEN Specific support</v>
      </c>
      <c r="K114" s="6">
        <f>ROUND(140349.87,2)</f>
        <v>140349.87</v>
      </c>
      <c r="L114" s="2">
        <v>401020</v>
      </c>
      <c r="M114" s="2">
        <v>10300</v>
      </c>
    </row>
    <row r="115" spans="1:13" ht="15.75" x14ac:dyDescent="0.25">
      <c r="A115" s="2" t="s">
        <v>167</v>
      </c>
      <c r="B115" s="2" t="s">
        <v>254</v>
      </c>
      <c r="C115" s="2">
        <v>1</v>
      </c>
      <c r="D115" s="2">
        <v>14666</v>
      </c>
      <c r="E115" s="2" t="s">
        <v>255</v>
      </c>
      <c r="F115" s="2">
        <v>150000</v>
      </c>
      <c r="G115" s="2" t="s">
        <v>716</v>
      </c>
      <c r="H115" s="2" t="s">
        <v>717</v>
      </c>
      <c r="I115" s="5" t="s">
        <v>714</v>
      </c>
      <c r="J115" s="2" t="str">
        <f>VLOOKUP(M115,[1]Directorate!$A:$B,2,FALSE)</f>
        <v>CCTV-Control</v>
      </c>
      <c r="K115" s="6">
        <f>ROUND(9587.5,2)</f>
        <v>9587.5</v>
      </c>
      <c r="L115" s="2">
        <v>401020</v>
      </c>
      <c r="M115" s="2">
        <v>12822</v>
      </c>
    </row>
    <row r="116" spans="1:13" ht="15.75" x14ac:dyDescent="0.25">
      <c r="A116" s="2" t="s">
        <v>167</v>
      </c>
      <c r="B116" s="2" t="s">
        <v>256</v>
      </c>
      <c r="C116" s="2">
        <v>1</v>
      </c>
      <c r="D116" s="2">
        <v>12793</v>
      </c>
      <c r="E116" s="2" t="s">
        <v>63</v>
      </c>
      <c r="F116" s="2">
        <v>999999</v>
      </c>
      <c r="G116" s="2" t="s">
        <v>715</v>
      </c>
      <c r="H116" s="2" t="s">
        <v>715</v>
      </c>
      <c r="I116" s="5" t="s">
        <v>705</v>
      </c>
      <c r="J116" s="2" t="str">
        <f>VLOOKUP(M116,[1]Directorate!$A:$B,2,FALSE)</f>
        <v>RAA - ASF Grant</v>
      </c>
      <c r="K116" s="6">
        <f>ROUND(5000,2)</f>
        <v>5000</v>
      </c>
      <c r="L116" s="2">
        <v>401035</v>
      </c>
      <c r="M116" s="2">
        <v>12968</v>
      </c>
    </row>
    <row r="117" spans="1:13" ht="15.75" x14ac:dyDescent="0.25">
      <c r="A117" s="2" t="s">
        <v>23</v>
      </c>
      <c r="B117" s="2" t="s">
        <v>197</v>
      </c>
      <c r="C117" s="2">
        <v>1</v>
      </c>
      <c r="D117" s="2">
        <v>7813</v>
      </c>
      <c r="E117" s="2" t="s">
        <v>198</v>
      </c>
      <c r="F117" s="2">
        <v>152050</v>
      </c>
      <c r="G117" s="2" t="s">
        <v>748</v>
      </c>
      <c r="H117" s="2" t="s">
        <v>734</v>
      </c>
      <c r="I117" s="7" t="s">
        <v>714</v>
      </c>
      <c r="J117" s="2" t="e">
        <f>VLOOKUP(M117,[1]Directorate!$A:$B,2,FALSE)</f>
        <v>#N/A</v>
      </c>
      <c r="K117" s="6">
        <f>ROUND(13450,2)</f>
        <v>13450</v>
      </c>
      <c r="L117" s="2">
        <v>200317</v>
      </c>
      <c r="M117" s="2" t="s">
        <v>199</v>
      </c>
    </row>
    <row r="118" spans="1:13" ht="15.75" x14ac:dyDescent="0.25">
      <c r="A118" s="2" t="s">
        <v>23</v>
      </c>
      <c r="B118" s="2" t="s">
        <v>235</v>
      </c>
      <c r="C118" s="2">
        <v>1</v>
      </c>
      <c r="D118" s="2">
        <v>1339</v>
      </c>
      <c r="E118" s="2" t="s">
        <v>158</v>
      </c>
      <c r="F118" s="2">
        <v>310000</v>
      </c>
      <c r="G118" s="2" t="s">
        <v>745</v>
      </c>
      <c r="H118" s="2" t="s">
        <v>746</v>
      </c>
      <c r="I118" s="5" t="s">
        <v>705</v>
      </c>
      <c r="J118" s="2" t="str">
        <f>VLOOKUP(M118,[1]Directorate!$A:$B,2,FALSE)</f>
        <v>EHP Children Ctrs Ce</v>
      </c>
      <c r="K118" s="6">
        <f>ROUND(206000,2)</f>
        <v>206000</v>
      </c>
      <c r="L118" s="2">
        <v>500401</v>
      </c>
      <c r="M118" s="2">
        <v>10122</v>
      </c>
    </row>
    <row r="119" spans="1:13" ht="15.75" x14ac:dyDescent="0.25">
      <c r="A119" s="2" t="s">
        <v>23</v>
      </c>
      <c r="B119" s="2" t="s">
        <v>239</v>
      </c>
      <c r="C119" s="2">
        <v>1</v>
      </c>
      <c r="D119" s="2">
        <v>6967</v>
      </c>
      <c r="E119" s="2" t="s">
        <v>53</v>
      </c>
      <c r="F119" s="2">
        <v>150000</v>
      </c>
      <c r="G119" s="2" t="s">
        <v>716</v>
      </c>
      <c r="H119" s="2" t="s">
        <v>717</v>
      </c>
      <c r="I119" s="5" t="s">
        <v>714</v>
      </c>
      <c r="J119" s="2" t="str">
        <f>VLOOKUP(M119,[1]Directorate!$A:$B,2,FALSE)</f>
        <v>Network Assets Staff</v>
      </c>
      <c r="K119" s="6">
        <f>ROUND(29890.08,2)</f>
        <v>29890.080000000002</v>
      </c>
      <c r="L119" s="2">
        <v>401020</v>
      </c>
      <c r="M119" s="2">
        <v>11959</v>
      </c>
    </row>
    <row r="120" spans="1:13" ht="15.75" x14ac:dyDescent="0.25">
      <c r="A120" s="2" t="s">
        <v>23</v>
      </c>
      <c r="B120" s="2" t="s">
        <v>257</v>
      </c>
      <c r="C120" s="2">
        <v>1</v>
      </c>
      <c r="D120" s="2">
        <v>12560</v>
      </c>
      <c r="E120" s="2" t="s">
        <v>258</v>
      </c>
      <c r="F120" s="2">
        <v>150000</v>
      </c>
      <c r="G120" s="2" t="s">
        <v>716</v>
      </c>
      <c r="H120" s="2" t="s">
        <v>717</v>
      </c>
      <c r="I120" s="5" t="s">
        <v>702</v>
      </c>
      <c r="J120" s="2" t="str">
        <f>VLOOKUP(M120,[1]Directorate!$A:$B,2,FALSE)</f>
        <v>Legal Fees Budget</v>
      </c>
      <c r="K120" s="6">
        <f>ROUND(13500,2)</f>
        <v>13500</v>
      </c>
      <c r="L120" s="2">
        <v>401020</v>
      </c>
      <c r="M120" s="2">
        <v>12271</v>
      </c>
    </row>
    <row r="121" spans="1:13" ht="15.75" x14ac:dyDescent="0.25">
      <c r="A121" s="2" t="s">
        <v>23</v>
      </c>
      <c r="B121" s="2" t="s">
        <v>259</v>
      </c>
      <c r="C121" s="2">
        <v>1</v>
      </c>
      <c r="D121" s="2">
        <v>16269</v>
      </c>
      <c r="E121" s="2" t="s">
        <v>260</v>
      </c>
      <c r="F121" s="2">
        <v>150000</v>
      </c>
      <c r="G121" s="2" t="s">
        <v>716</v>
      </c>
      <c r="H121" s="2" t="s">
        <v>717</v>
      </c>
      <c r="I121" s="5" t="s">
        <v>702</v>
      </c>
      <c r="J121" s="2" t="str">
        <f>VLOOKUP(M121,[1]Directorate!$A:$B,2,FALSE)</f>
        <v>Legal Fees Budget</v>
      </c>
      <c r="K121" s="6">
        <f>ROUND(5250,2)</f>
        <v>5250</v>
      </c>
      <c r="L121" s="2">
        <v>401020</v>
      </c>
      <c r="M121" s="2">
        <v>12271</v>
      </c>
    </row>
    <row r="122" spans="1:13" ht="15.75" x14ac:dyDescent="0.25">
      <c r="A122" s="2" t="s">
        <v>23</v>
      </c>
      <c r="B122" s="2" t="s">
        <v>261</v>
      </c>
      <c r="C122" s="2">
        <v>1</v>
      </c>
      <c r="D122" s="2">
        <v>5214</v>
      </c>
      <c r="E122" s="2" t="s">
        <v>262</v>
      </c>
      <c r="F122" s="2">
        <v>150000</v>
      </c>
      <c r="G122" s="2" t="s">
        <v>716</v>
      </c>
      <c r="H122" s="2" t="s">
        <v>717</v>
      </c>
      <c r="I122" s="7" t="s">
        <v>714</v>
      </c>
      <c r="J122" s="2" t="e">
        <f>VLOOKUP(M122,[1]Directorate!$A:$B,2,FALSE)</f>
        <v>#N/A</v>
      </c>
      <c r="K122" s="6">
        <f>ROUND(75236,2)</f>
        <v>75236</v>
      </c>
      <c r="L122" s="2">
        <v>401007</v>
      </c>
      <c r="M122" s="2" t="s">
        <v>263</v>
      </c>
    </row>
    <row r="123" spans="1:13" ht="15.75" x14ac:dyDescent="0.25">
      <c r="A123" s="2" t="s">
        <v>23</v>
      </c>
      <c r="B123" s="2" t="s">
        <v>267</v>
      </c>
      <c r="C123" s="2">
        <v>1</v>
      </c>
      <c r="D123" s="2">
        <v>14778</v>
      </c>
      <c r="E123" s="2" t="s">
        <v>228</v>
      </c>
      <c r="F123" s="2">
        <v>390000</v>
      </c>
      <c r="G123" s="2" t="s">
        <v>703</v>
      </c>
      <c r="H123" s="2" t="s">
        <v>704</v>
      </c>
      <c r="I123" s="7" t="s">
        <v>702</v>
      </c>
      <c r="J123" s="2" t="e">
        <f>VLOOKUP(M123,[1]Directorate!$A:$B,2,FALSE)</f>
        <v>#N/A</v>
      </c>
      <c r="K123" s="6">
        <f>ROUND(147196,2)</f>
        <v>147196</v>
      </c>
      <c r="L123" s="2">
        <v>200123</v>
      </c>
      <c r="M123" s="2" t="s">
        <v>268</v>
      </c>
    </row>
    <row r="124" spans="1:13" ht="15.75" x14ac:dyDescent="0.25">
      <c r="A124" s="2" t="s">
        <v>23</v>
      </c>
      <c r="B124" s="2" t="s">
        <v>273</v>
      </c>
      <c r="C124" s="2">
        <v>1</v>
      </c>
      <c r="D124" s="2">
        <v>683</v>
      </c>
      <c r="E124" s="2" t="s">
        <v>274</v>
      </c>
      <c r="F124" s="2">
        <v>150000</v>
      </c>
      <c r="G124" s="2" t="s">
        <v>716</v>
      </c>
      <c r="H124" s="2" t="s">
        <v>717</v>
      </c>
      <c r="I124" s="7" t="s">
        <v>714</v>
      </c>
      <c r="J124" s="2" t="e">
        <f>VLOOKUP(M124,[1]Directorate!$A:$B,2,FALSE)</f>
        <v>#N/A</v>
      </c>
      <c r="K124" s="6">
        <f>ROUND(9936,2)</f>
        <v>9936</v>
      </c>
      <c r="L124" s="2">
        <v>401007</v>
      </c>
      <c r="M124" s="2" t="s">
        <v>263</v>
      </c>
    </row>
    <row r="125" spans="1:13" ht="15.75" x14ac:dyDescent="0.25">
      <c r="A125" s="2" t="s">
        <v>16</v>
      </c>
      <c r="B125" s="2" t="s">
        <v>145</v>
      </c>
      <c r="C125" s="2">
        <v>1</v>
      </c>
      <c r="D125" s="2">
        <v>6748</v>
      </c>
      <c r="E125" s="2" t="s">
        <v>11</v>
      </c>
      <c r="F125" s="2">
        <v>390000</v>
      </c>
      <c r="G125" s="2" t="s">
        <v>703</v>
      </c>
      <c r="H125" s="2" t="s">
        <v>704</v>
      </c>
      <c r="I125" s="5" t="s">
        <v>702</v>
      </c>
      <c r="J125" s="2" t="str">
        <f>VLOOKUP(M125,[1]Directorate!$A:$B,2,FALSE)</f>
        <v>Public Libraries Gen</v>
      </c>
      <c r="K125" s="6">
        <f>ROUND(5500,2)</f>
        <v>5500</v>
      </c>
      <c r="L125" s="2">
        <v>200123</v>
      </c>
      <c r="M125" s="2">
        <v>11329</v>
      </c>
    </row>
    <row r="126" spans="1:13" ht="15.75" x14ac:dyDescent="0.25">
      <c r="A126" s="2" t="s">
        <v>16</v>
      </c>
      <c r="B126" s="2" t="s">
        <v>195</v>
      </c>
      <c r="C126" s="2">
        <v>1</v>
      </c>
      <c r="D126" s="2">
        <v>1342</v>
      </c>
      <c r="E126" s="2" t="s">
        <v>152</v>
      </c>
      <c r="F126" s="2">
        <v>182020</v>
      </c>
      <c r="G126" s="2" t="s">
        <v>727</v>
      </c>
      <c r="H126" s="2" t="s">
        <v>728</v>
      </c>
      <c r="I126" s="5" t="s">
        <v>714</v>
      </c>
      <c r="J126" s="2" t="str">
        <f>VLOOKUP(M126,[1]Directorate!$A:$B,2,FALSE)</f>
        <v>Bulk Container</v>
      </c>
      <c r="K126" s="6">
        <f>ROUND(3373.5,2)</f>
        <v>3373.5</v>
      </c>
      <c r="L126" s="2">
        <v>400401</v>
      </c>
      <c r="M126" s="2">
        <v>10883</v>
      </c>
    </row>
    <row r="127" spans="1:13" ht="15.75" x14ac:dyDescent="0.25">
      <c r="A127" s="2" t="s">
        <v>16</v>
      </c>
      <c r="B127" s="2" t="s">
        <v>217</v>
      </c>
      <c r="C127" s="2">
        <v>1</v>
      </c>
      <c r="D127" s="2">
        <v>11962</v>
      </c>
      <c r="E127" s="2" t="s">
        <v>218</v>
      </c>
      <c r="F127" s="2">
        <v>171113</v>
      </c>
      <c r="G127" s="2" t="s">
        <v>700</v>
      </c>
      <c r="H127" s="2" t="s">
        <v>701</v>
      </c>
      <c r="I127" s="5" t="s">
        <v>702</v>
      </c>
      <c r="J127" s="2" t="str">
        <f>VLOOKUP(M127,[1]Directorate!$A:$B,2,FALSE)</f>
        <v>Library Dev &amp; Res</v>
      </c>
      <c r="K127" s="6">
        <f>ROUND(7351.33,2)</f>
        <v>7351.33</v>
      </c>
      <c r="L127" s="2">
        <v>400202</v>
      </c>
      <c r="M127" s="2">
        <v>11328</v>
      </c>
    </row>
    <row r="128" spans="1:13" ht="15.75" x14ac:dyDescent="0.25">
      <c r="A128" s="2" t="s">
        <v>16</v>
      </c>
      <c r="B128" s="2" t="s">
        <v>231</v>
      </c>
      <c r="C128" s="2">
        <v>1</v>
      </c>
      <c r="D128" s="2">
        <v>1844</v>
      </c>
      <c r="E128" s="2" t="s">
        <v>121</v>
      </c>
      <c r="F128" s="2">
        <v>181800</v>
      </c>
      <c r="G128" s="2" t="s">
        <v>706</v>
      </c>
      <c r="H128" s="2" t="s">
        <v>707</v>
      </c>
      <c r="I128" s="5" t="s">
        <v>705</v>
      </c>
      <c r="J128" s="2" t="str">
        <f>VLOOKUP(M128,[1]Directorate!$A:$B,2,FALSE)</f>
        <v>SI - Music Service</v>
      </c>
      <c r="K128" s="6">
        <f>ROUND(1025,2)</f>
        <v>1025</v>
      </c>
      <c r="L128" s="2">
        <v>400110</v>
      </c>
      <c r="M128" s="2">
        <v>10417</v>
      </c>
    </row>
    <row r="129" spans="1:13" ht="15.75" x14ac:dyDescent="0.25">
      <c r="A129" s="2" t="s">
        <v>16</v>
      </c>
      <c r="B129" s="2" t="s">
        <v>232</v>
      </c>
      <c r="C129" s="2">
        <v>1</v>
      </c>
      <c r="D129" s="2">
        <v>1339</v>
      </c>
      <c r="E129" s="2" t="s">
        <v>158</v>
      </c>
      <c r="F129" s="2">
        <v>310000</v>
      </c>
      <c r="G129" s="2" t="s">
        <v>745</v>
      </c>
      <c r="H129" s="2" t="s">
        <v>746</v>
      </c>
      <c r="I129" s="5" t="s">
        <v>705</v>
      </c>
      <c r="J129" s="2" t="str">
        <f>VLOOKUP(M129,[1]Directorate!$A:$B,2,FALSE)</f>
        <v>COMMA Project</v>
      </c>
      <c r="K129" s="6">
        <f>ROUND(50100,2)</f>
        <v>50100</v>
      </c>
      <c r="L129" s="2">
        <v>500402</v>
      </c>
      <c r="M129" s="2">
        <v>13079</v>
      </c>
    </row>
    <row r="130" spans="1:13" ht="15.75" x14ac:dyDescent="0.25">
      <c r="A130" s="2" t="s">
        <v>16</v>
      </c>
      <c r="B130" s="2" t="s">
        <v>233</v>
      </c>
      <c r="C130" s="2">
        <v>1</v>
      </c>
      <c r="D130" s="2">
        <v>1339</v>
      </c>
      <c r="E130" s="2" t="s">
        <v>158</v>
      </c>
      <c r="F130" s="2">
        <v>310000</v>
      </c>
      <c r="G130" s="2" t="s">
        <v>745</v>
      </c>
      <c r="H130" s="2" t="s">
        <v>746</v>
      </c>
      <c r="I130" s="5" t="s">
        <v>705</v>
      </c>
      <c r="J130" s="2" t="str">
        <f>VLOOKUP(M130,[1]Directorate!$A:$B,2,FALSE)</f>
        <v>Yth Justice EarlyInt</v>
      </c>
      <c r="K130" s="6">
        <f>ROUND(9700,2)</f>
        <v>9700</v>
      </c>
      <c r="L130" s="2">
        <v>500402</v>
      </c>
      <c r="M130" s="2">
        <v>11787</v>
      </c>
    </row>
    <row r="131" spans="1:13" ht="15.75" x14ac:dyDescent="0.25">
      <c r="A131" s="2" t="s">
        <v>16</v>
      </c>
      <c r="B131" s="2" t="s">
        <v>236</v>
      </c>
      <c r="C131" s="2">
        <v>1</v>
      </c>
      <c r="D131" s="2">
        <v>1339</v>
      </c>
      <c r="E131" s="2" t="s">
        <v>158</v>
      </c>
      <c r="F131" s="2">
        <v>999999</v>
      </c>
      <c r="G131" s="2" t="s">
        <v>715</v>
      </c>
      <c r="H131" s="2" t="s">
        <v>715</v>
      </c>
      <c r="I131" s="5" t="s">
        <v>705</v>
      </c>
      <c r="J131" s="2" t="str">
        <f>VLOOKUP(M131,[1]Directorate!$A:$B,2,FALSE)</f>
        <v>EHP Early Interventn</v>
      </c>
      <c r="K131" s="6">
        <f>ROUND(106837,2)</f>
        <v>106837</v>
      </c>
      <c r="L131" s="2">
        <v>402404</v>
      </c>
      <c r="M131" s="2">
        <v>12600</v>
      </c>
    </row>
    <row r="132" spans="1:13" ht="15.75" x14ac:dyDescent="0.25">
      <c r="A132" s="2" t="s">
        <v>16</v>
      </c>
      <c r="B132" s="2" t="s">
        <v>237</v>
      </c>
      <c r="C132" s="2">
        <v>1</v>
      </c>
      <c r="D132" s="2">
        <v>1339</v>
      </c>
      <c r="E132" s="2" t="s">
        <v>158</v>
      </c>
      <c r="F132" s="2">
        <v>310000</v>
      </c>
      <c r="G132" s="2" t="s">
        <v>745</v>
      </c>
      <c r="H132" s="2" t="s">
        <v>746</v>
      </c>
      <c r="I132" s="5" t="s">
        <v>705</v>
      </c>
      <c r="J132" s="2" t="str">
        <f>VLOOKUP(M132,[1]Directorate!$A:$B,2,FALSE)</f>
        <v>EHP TP Commissioning</v>
      </c>
      <c r="K132" s="6">
        <f>ROUND(30000,2)</f>
        <v>30000</v>
      </c>
      <c r="L132" s="2">
        <v>500402</v>
      </c>
      <c r="M132" s="2">
        <v>11740</v>
      </c>
    </row>
    <row r="133" spans="1:13" ht="15.75" x14ac:dyDescent="0.25">
      <c r="A133" s="2" t="s">
        <v>16</v>
      </c>
      <c r="B133" s="2" t="s">
        <v>238</v>
      </c>
      <c r="C133" s="2">
        <v>1</v>
      </c>
      <c r="D133" s="2">
        <v>1339</v>
      </c>
      <c r="E133" s="2" t="s">
        <v>158</v>
      </c>
      <c r="F133" s="2">
        <v>310000</v>
      </c>
      <c r="G133" s="2" t="s">
        <v>745</v>
      </c>
      <c r="H133" s="2" t="s">
        <v>746</v>
      </c>
      <c r="I133" s="5" t="s">
        <v>705</v>
      </c>
      <c r="J133" s="2" t="str">
        <f>VLOOKUP(M133,[1]Directorate!$A:$B,2,FALSE)</f>
        <v>Domestic Abuse Bill</v>
      </c>
      <c r="K133" s="6">
        <f>ROUND(62900,2)</f>
        <v>62900</v>
      </c>
      <c r="L133" s="2">
        <v>500402</v>
      </c>
      <c r="M133" s="2">
        <v>13111</v>
      </c>
    </row>
    <row r="134" spans="1:13" ht="15.75" x14ac:dyDescent="0.25">
      <c r="A134" s="2" t="s">
        <v>16</v>
      </c>
      <c r="B134" s="2" t="s">
        <v>252</v>
      </c>
      <c r="C134" s="2">
        <v>1</v>
      </c>
      <c r="D134" s="2">
        <v>14669</v>
      </c>
      <c r="E134" s="2" t="s">
        <v>129</v>
      </c>
      <c r="F134" s="2">
        <v>391114</v>
      </c>
      <c r="G134" s="2" t="s">
        <v>733</v>
      </c>
      <c r="H134" s="2" t="s">
        <v>734</v>
      </c>
      <c r="I134" s="7" t="s">
        <v>714</v>
      </c>
      <c r="J134" s="2" t="e">
        <f>VLOOKUP(M134,[1]Directorate!$A:$B,2,FALSE)</f>
        <v>#N/A</v>
      </c>
      <c r="K134" s="6">
        <f>ROUND(14024.4,2)</f>
        <v>14024.4</v>
      </c>
      <c r="L134" s="2">
        <v>200316</v>
      </c>
      <c r="M134" s="2" t="s">
        <v>253</v>
      </c>
    </row>
    <row r="135" spans="1:13" ht="15.75" x14ac:dyDescent="0.25">
      <c r="A135" s="2" t="s">
        <v>16</v>
      </c>
      <c r="B135" s="2" t="s">
        <v>266</v>
      </c>
      <c r="C135" s="2">
        <v>1</v>
      </c>
      <c r="D135" s="2">
        <v>7362</v>
      </c>
      <c r="E135" s="2" t="s">
        <v>30</v>
      </c>
      <c r="F135" s="2">
        <v>190000</v>
      </c>
      <c r="G135" s="2" t="s">
        <v>747</v>
      </c>
      <c r="H135" s="2" t="s">
        <v>710</v>
      </c>
      <c r="I135" s="5" t="s">
        <v>705</v>
      </c>
      <c r="J135" s="2" t="str">
        <f>VLOOKUP(M135,[1]Directorate!$A:$B,2,FALSE)</f>
        <v>SG - Safegrdg in Ed</v>
      </c>
      <c r="K135" s="6">
        <f>ROUND(4000,2)</f>
        <v>4000</v>
      </c>
      <c r="L135" s="2">
        <v>400705</v>
      </c>
      <c r="M135" s="2">
        <v>11422</v>
      </c>
    </row>
    <row r="136" spans="1:13" ht="15.75" x14ac:dyDescent="0.25">
      <c r="A136" s="2" t="s">
        <v>16</v>
      </c>
      <c r="B136" s="2" t="s">
        <v>270</v>
      </c>
      <c r="C136" s="2">
        <v>1</v>
      </c>
      <c r="D136" s="2">
        <v>13294</v>
      </c>
      <c r="E136" s="2" t="s">
        <v>271</v>
      </c>
      <c r="F136" s="2">
        <v>150000</v>
      </c>
      <c r="G136" s="2" t="s">
        <v>716</v>
      </c>
      <c r="H136" s="2" t="s">
        <v>717</v>
      </c>
      <c r="I136" s="5" t="s">
        <v>705</v>
      </c>
      <c r="J136" s="2" t="str">
        <f>VLOOKUP(M136,[1]Directorate!$A:$B,2,FALSE)</f>
        <v>CYP ASYE</v>
      </c>
      <c r="K136" s="6">
        <f>ROUND(2700,2)</f>
        <v>2700</v>
      </c>
      <c r="L136" s="2">
        <v>401020</v>
      </c>
      <c r="M136" s="2">
        <v>12953</v>
      </c>
    </row>
    <row r="137" spans="1:13" ht="15.75" x14ac:dyDescent="0.25">
      <c r="A137" s="2" t="s">
        <v>16</v>
      </c>
      <c r="B137" s="2" t="s">
        <v>275</v>
      </c>
      <c r="C137" s="2">
        <v>1</v>
      </c>
      <c r="D137" s="2">
        <v>6214</v>
      </c>
      <c r="E137" s="2" t="s">
        <v>182</v>
      </c>
      <c r="F137" s="2">
        <v>181800</v>
      </c>
      <c r="G137" s="2" t="s">
        <v>706</v>
      </c>
      <c r="H137" s="2" t="s">
        <v>707</v>
      </c>
      <c r="I137" s="5" t="s">
        <v>705</v>
      </c>
      <c r="J137" s="2" t="str">
        <f>VLOOKUP(M137,[1]Directorate!$A:$B,2,FALSE)</f>
        <v>Highfields PRU</v>
      </c>
      <c r="K137" s="6">
        <f>ROUND(5144.31,2)</f>
        <v>5144.3100000000004</v>
      </c>
      <c r="L137" s="2">
        <v>400110</v>
      </c>
      <c r="M137" s="2">
        <v>10329</v>
      </c>
    </row>
    <row r="138" spans="1:13" ht="15.75" x14ac:dyDescent="0.25">
      <c r="A138" s="2" t="s">
        <v>16</v>
      </c>
      <c r="B138" s="2" t="s">
        <v>276</v>
      </c>
      <c r="C138" s="2">
        <v>1</v>
      </c>
      <c r="D138" s="2">
        <v>7889</v>
      </c>
      <c r="E138" s="2" t="s">
        <v>203</v>
      </c>
      <c r="F138" s="2">
        <v>390000</v>
      </c>
      <c r="G138" s="2" t="s">
        <v>703</v>
      </c>
      <c r="H138" s="2" t="s">
        <v>726</v>
      </c>
      <c r="I138" s="7" t="s">
        <v>702</v>
      </c>
      <c r="J138" s="2" t="e">
        <f>VLOOKUP(M138,[1]Directorate!$A:$B,2,FALSE)</f>
        <v>#N/A</v>
      </c>
      <c r="K138" s="6">
        <f>ROUND(5570,2)</f>
        <v>5570</v>
      </c>
      <c r="L138" s="2">
        <v>200311</v>
      </c>
      <c r="M138" s="2" t="s">
        <v>277</v>
      </c>
    </row>
    <row r="139" spans="1:13" ht="15.75" x14ac:dyDescent="0.25">
      <c r="A139" s="2" t="s">
        <v>16</v>
      </c>
      <c r="B139" s="2" t="s">
        <v>280</v>
      </c>
      <c r="C139" s="2">
        <v>1</v>
      </c>
      <c r="D139" s="2">
        <v>12675</v>
      </c>
      <c r="E139" s="2" t="s">
        <v>52</v>
      </c>
      <c r="F139" s="2">
        <v>999999</v>
      </c>
      <c r="G139" s="2" t="s">
        <v>715</v>
      </c>
      <c r="H139" s="2" t="s">
        <v>715</v>
      </c>
      <c r="I139" s="5" t="s">
        <v>705</v>
      </c>
      <c r="J139" s="2" t="str">
        <f>VLOOKUP(M139,[1]Directorate!$A:$B,2,FALSE)</f>
        <v>RAA - ASF Grant</v>
      </c>
      <c r="K139" s="6">
        <f>ROUND(5000,2)</f>
        <v>5000</v>
      </c>
      <c r="L139" s="2">
        <v>401035</v>
      </c>
      <c r="M139" s="2">
        <v>12968</v>
      </c>
    </row>
    <row r="140" spans="1:13" ht="15.75" x14ac:dyDescent="0.25">
      <c r="A140" s="2" t="s">
        <v>16</v>
      </c>
      <c r="B140" s="2" t="s">
        <v>281</v>
      </c>
      <c r="C140" s="2">
        <v>1</v>
      </c>
      <c r="D140" s="2">
        <v>10716</v>
      </c>
      <c r="E140" s="2" t="s">
        <v>175</v>
      </c>
      <c r="F140" s="2">
        <v>150000</v>
      </c>
      <c r="G140" s="2" t="s">
        <v>716</v>
      </c>
      <c r="H140" s="2" t="s">
        <v>717</v>
      </c>
      <c r="I140" s="5" t="s">
        <v>705</v>
      </c>
      <c r="J140" s="2" t="str">
        <f>VLOOKUP(M140,[1]Directorate!$A:$B,2,FALSE)</f>
        <v>SC - Leaving Care</v>
      </c>
      <c r="K140" s="6">
        <f>ROUND(47900,2)</f>
        <v>47900</v>
      </c>
      <c r="L140" s="2">
        <v>401020</v>
      </c>
      <c r="M140" s="2">
        <v>11501</v>
      </c>
    </row>
    <row r="141" spans="1:13" ht="15.75" x14ac:dyDescent="0.25">
      <c r="A141" s="2" t="s">
        <v>16</v>
      </c>
      <c r="B141" s="2" t="s">
        <v>285</v>
      </c>
      <c r="C141" s="2">
        <v>1</v>
      </c>
      <c r="D141" s="2">
        <v>10716</v>
      </c>
      <c r="E141" s="2" t="s">
        <v>175</v>
      </c>
      <c r="F141" s="2">
        <v>150000</v>
      </c>
      <c r="G141" s="2" t="s">
        <v>716</v>
      </c>
      <c r="H141" s="2" t="s">
        <v>717</v>
      </c>
      <c r="I141" s="5" t="s">
        <v>705</v>
      </c>
      <c r="J141" s="2" t="str">
        <f>VLOOKUP(M141,[1]Directorate!$A:$B,2,FALSE)</f>
        <v>SC - Leaving Care</v>
      </c>
      <c r="K141" s="6">
        <f>ROUND(47995,2)</f>
        <v>47995</v>
      </c>
      <c r="L141" s="2">
        <v>401020</v>
      </c>
      <c r="M141" s="2">
        <v>11501</v>
      </c>
    </row>
    <row r="142" spans="1:13" ht="15.75" x14ac:dyDescent="0.25">
      <c r="A142" s="2" t="s">
        <v>16</v>
      </c>
      <c r="B142" s="2" t="s">
        <v>286</v>
      </c>
      <c r="C142" s="2">
        <v>1</v>
      </c>
      <c r="D142" s="2">
        <v>13109</v>
      </c>
      <c r="E142" s="2" t="s">
        <v>287</v>
      </c>
      <c r="F142" s="2">
        <v>999999</v>
      </c>
      <c r="G142" s="2" t="s">
        <v>741</v>
      </c>
      <c r="H142" s="2" t="s">
        <v>749</v>
      </c>
      <c r="I142" s="5" t="s">
        <v>705</v>
      </c>
      <c r="J142" s="2" t="str">
        <f>VLOOKUP(M142,[1]Directorate!$A:$B,2,FALSE)</f>
        <v>PH-Mental Wellbeing</v>
      </c>
      <c r="K142" s="6">
        <f>ROUND(7500,2)</f>
        <v>7500</v>
      </c>
      <c r="L142" s="2">
        <v>561704</v>
      </c>
      <c r="M142" s="2">
        <v>12734</v>
      </c>
    </row>
    <row r="143" spans="1:13" ht="15.75" x14ac:dyDescent="0.25">
      <c r="A143" s="2" t="s">
        <v>16</v>
      </c>
      <c r="B143" s="2" t="s">
        <v>290</v>
      </c>
      <c r="C143" s="2">
        <v>1</v>
      </c>
      <c r="D143" s="2">
        <v>8183</v>
      </c>
      <c r="E143" s="2" t="s">
        <v>291</v>
      </c>
      <c r="F143" s="2">
        <v>150000</v>
      </c>
      <c r="G143" s="2" t="s">
        <v>716</v>
      </c>
      <c r="H143" s="2" t="s">
        <v>717</v>
      </c>
      <c r="I143" s="5" t="s">
        <v>705</v>
      </c>
      <c r="J143" s="2" t="str">
        <f>VLOOKUP(M143,[1]Directorate!$A:$B,2,FALSE)</f>
        <v>WD-Staff Dev-Grants</v>
      </c>
      <c r="K143" s="6">
        <f>ROUND(11100,2)</f>
        <v>11100</v>
      </c>
      <c r="L143" s="2">
        <v>401020</v>
      </c>
      <c r="M143" s="2">
        <v>12202</v>
      </c>
    </row>
    <row r="144" spans="1:13" ht="15.75" x14ac:dyDescent="0.25">
      <c r="A144" s="2" t="s">
        <v>16</v>
      </c>
      <c r="B144" s="2" t="s">
        <v>296</v>
      </c>
      <c r="C144" s="2">
        <v>1</v>
      </c>
      <c r="D144" s="2">
        <v>9232</v>
      </c>
      <c r="E144" s="2" t="s">
        <v>84</v>
      </c>
      <c r="F144" s="2">
        <v>150000</v>
      </c>
      <c r="G144" s="2" t="s">
        <v>716</v>
      </c>
      <c r="H144" s="2" t="s">
        <v>717</v>
      </c>
      <c r="I144" s="5" t="s">
        <v>705</v>
      </c>
      <c r="J144" s="2" t="str">
        <f>VLOOKUP(M144,[1]Directorate!$A:$B,2,FALSE)</f>
        <v>SEN Incl - Psycholog</v>
      </c>
      <c r="K144" s="6">
        <f>ROUND(1375,2)</f>
        <v>1375</v>
      </c>
      <c r="L144" s="2">
        <v>401007</v>
      </c>
      <c r="M144" s="2">
        <v>10751</v>
      </c>
    </row>
    <row r="145" spans="1:13" ht="15.75" x14ac:dyDescent="0.25">
      <c r="A145" s="2" t="s">
        <v>16</v>
      </c>
      <c r="B145" s="2" t="s">
        <v>195</v>
      </c>
      <c r="C145" s="2">
        <v>2</v>
      </c>
      <c r="D145" s="2">
        <v>1342</v>
      </c>
      <c r="E145" s="2" t="s">
        <v>152</v>
      </c>
      <c r="F145" s="2">
        <v>182020</v>
      </c>
      <c r="G145" s="2" t="s">
        <v>727</v>
      </c>
      <c r="H145" s="2" t="s">
        <v>728</v>
      </c>
      <c r="I145" s="5" t="s">
        <v>714</v>
      </c>
      <c r="J145" s="2" t="str">
        <f>VLOOKUP(M145,[1]Directorate!$A:$B,2,FALSE)</f>
        <v>Bulk Container</v>
      </c>
      <c r="K145" s="6">
        <f>ROUND(3373.5,2)</f>
        <v>3373.5</v>
      </c>
      <c r="L145" s="2">
        <v>400401</v>
      </c>
      <c r="M145" s="2">
        <v>10883</v>
      </c>
    </row>
    <row r="146" spans="1:13" ht="15.75" x14ac:dyDescent="0.25">
      <c r="A146" s="2" t="s">
        <v>16</v>
      </c>
      <c r="B146" s="2" t="s">
        <v>231</v>
      </c>
      <c r="C146" s="2">
        <v>2</v>
      </c>
      <c r="D146" s="2">
        <v>1844</v>
      </c>
      <c r="E146" s="2" t="s">
        <v>121</v>
      </c>
      <c r="F146" s="2">
        <v>181800</v>
      </c>
      <c r="G146" s="2" t="s">
        <v>706</v>
      </c>
      <c r="H146" s="2" t="s">
        <v>707</v>
      </c>
      <c r="I146" s="5" t="s">
        <v>705</v>
      </c>
      <c r="J146" s="2" t="str">
        <f>VLOOKUP(M146,[1]Directorate!$A:$B,2,FALSE)</f>
        <v>SI - Music Service</v>
      </c>
      <c r="K146" s="6">
        <f>ROUND(1025,2)</f>
        <v>1025</v>
      </c>
      <c r="L146" s="2">
        <v>400110</v>
      </c>
      <c r="M146" s="2">
        <v>10417</v>
      </c>
    </row>
    <row r="147" spans="1:13" ht="15.75" x14ac:dyDescent="0.25">
      <c r="A147" s="2" t="s">
        <v>16</v>
      </c>
      <c r="B147" s="2" t="s">
        <v>266</v>
      </c>
      <c r="C147" s="2">
        <v>2</v>
      </c>
      <c r="D147" s="2">
        <v>7362</v>
      </c>
      <c r="E147" s="2" t="s">
        <v>30</v>
      </c>
      <c r="F147" s="2">
        <v>190000</v>
      </c>
      <c r="G147" s="2" t="s">
        <v>747</v>
      </c>
      <c r="H147" s="2" t="s">
        <v>710</v>
      </c>
      <c r="I147" s="5" t="s">
        <v>705</v>
      </c>
      <c r="J147" s="2" t="str">
        <f>VLOOKUP(M147,[1]Directorate!$A:$B,2,FALSE)</f>
        <v>SG - Safegrdg in Ed</v>
      </c>
      <c r="K147" s="6">
        <f>ROUND(6000,2)</f>
        <v>6000</v>
      </c>
      <c r="L147" s="2">
        <v>400705</v>
      </c>
      <c r="M147" s="2">
        <v>11422</v>
      </c>
    </row>
    <row r="148" spans="1:13" ht="15.75" x14ac:dyDescent="0.25">
      <c r="A148" s="2" t="s">
        <v>16</v>
      </c>
      <c r="B148" s="2" t="s">
        <v>270</v>
      </c>
      <c r="C148" s="2">
        <v>2</v>
      </c>
      <c r="D148" s="2">
        <v>13294</v>
      </c>
      <c r="E148" s="2" t="s">
        <v>271</v>
      </c>
      <c r="F148" s="2">
        <v>150000</v>
      </c>
      <c r="G148" s="2" t="s">
        <v>716</v>
      </c>
      <c r="H148" s="2" t="s">
        <v>717</v>
      </c>
      <c r="I148" s="5" t="s">
        <v>705</v>
      </c>
      <c r="J148" s="2" t="str">
        <f>VLOOKUP(M148,[1]Directorate!$A:$B,2,FALSE)</f>
        <v>CYP ASYE</v>
      </c>
      <c r="K148" s="6">
        <f>ROUND(3544.45,2)</f>
        <v>3544.45</v>
      </c>
      <c r="L148" s="2">
        <v>401020</v>
      </c>
      <c r="M148" s="2">
        <v>12953</v>
      </c>
    </row>
    <row r="149" spans="1:13" ht="15.75" x14ac:dyDescent="0.25">
      <c r="A149" s="2" t="s">
        <v>16</v>
      </c>
      <c r="B149" s="2" t="s">
        <v>286</v>
      </c>
      <c r="C149" s="2">
        <v>2</v>
      </c>
      <c r="D149" s="2">
        <v>13109</v>
      </c>
      <c r="E149" s="2" t="s">
        <v>287</v>
      </c>
      <c r="F149" s="2">
        <v>999999</v>
      </c>
      <c r="G149" s="2" t="s">
        <v>741</v>
      </c>
      <c r="H149" s="2" t="s">
        <v>749</v>
      </c>
      <c r="I149" s="5" t="s">
        <v>705</v>
      </c>
      <c r="J149" s="2" t="str">
        <f>VLOOKUP(M149,[1]Directorate!$A:$B,2,FALSE)</f>
        <v>PH-Mental Wellbeing</v>
      </c>
      <c r="K149" s="6">
        <f>ROUND(150,2)</f>
        <v>150</v>
      </c>
      <c r="L149" s="2">
        <v>561704</v>
      </c>
      <c r="M149" s="2">
        <v>12734</v>
      </c>
    </row>
    <row r="150" spans="1:13" ht="15.75" x14ac:dyDescent="0.25">
      <c r="A150" s="2" t="s">
        <v>16</v>
      </c>
      <c r="B150" s="2" t="s">
        <v>296</v>
      </c>
      <c r="C150" s="2">
        <v>2</v>
      </c>
      <c r="D150" s="2">
        <v>9232</v>
      </c>
      <c r="E150" s="2" t="s">
        <v>84</v>
      </c>
      <c r="F150" s="2">
        <v>150000</v>
      </c>
      <c r="G150" s="2" t="s">
        <v>716</v>
      </c>
      <c r="H150" s="2" t="s">
        <v>717</v>
      </c>
      <c r="I150" s="5" t="s">
        <v>705</v>
      </c>
      <c r="J150" s="2" t="str">
        <f>VLOOKUP(M150,[1]Directorate!$A:$B,2,FALSE)</f>
        <v>SEN Incl - Psycholog</v>
      </c>
      <c r="K150" s="6">
        <f>ROUND(2750,2)</f>
        <v>2750</v>
      </c>
      <c r="L150" s="2">
        <v>401007</v>
      </c>
      <c r="M150" s="2">
        <v>10751</v>
      </c>
    </row>
    <row r="151" spans="1:13" ht="15.75" x14ac:dyDescent="0.25">
      <c r="A151" s="2" t="s">
        <v>16</v>
      </c>
      <c r="B151" s="2" t="s">
        <v>231</v>
      </c>
      <c r="C151" s="2">
        <v>3</v>
      </c>
      <c r="D151" s="2">
        <v>1844</v>
      </c>
      <c r="E151" s="2" t="s">
        <v>121</v>
      </c>
      <c r="F151" s="2">
        <v>181800</v>
      </c>
      <c r="G151" s="2" t="s">
        <v>706</v>
      </c>
      <c r="H151" s="2" t="s">
        <v>707</v>
      </c>
      <c r="I151" s="5" t="s">
        <v>705</v>
      </c>
      <c r="J151" s="2" t="str">
        <f>VLOOKUP(M151,[1]Directorate!$A:$B,2,FALSE)</f>
        <v>SI - Music Service</v>
      </c>
      <c r="K151" s="6">
        <f>ROUND(247.5,2)</f>
        <v>247.5</v>
      </c>
      <c r="L151" s="2">
        <v>400110</v>
      </c>
      <c r="M151" s="2">
        <v>10417</v>
      </c>
    </row>
    <row r="152" spans="1:13" ht="15.75" x14ac:dyDescent="0.25">
      <c r="A152" s="2" t="s">
        <v>16</v>
      </c>
      <c r="B152" s="2" t="s">
        <v>296</v>
      </c>
      <c r="C152" s="2">
        <v>3</v>
      </c>
      <c r="D152" s="2">
        <v>9232</v>
      </c>
      <c r="E152" s="2" t="s">
        <v>84</v>
      </c>
      <c r="F152" s="2">
        <v>150000</v>
      </c>
      <c r="G152" s="2" t="s">
        <v>716</v>
      </c>
      <c r="H152" s="2" t="s">
        <v>717</v>
      </c>
      <c r="I152" s="5" t="s">
        <v>705</v>
      </c>
      <c r="J152" s="2" t="str">
        <f>VLOOKUP(M152,[1]Directorate!$A:$B,2,FALSE)</f>
        <v>SEN Incl - Psycholog</v>
      </c>
      <c r="K152" s="6">
        <f>ROUND(1375,2)</f>
        <v>1375</v>
      </c>
      <c r="L152" s="2">
        <v>401007</v>
      </c>
      <c r="M152" s="2">
        <v>10751</v>
      </c>
    </row>
    <row r="153" spans="1:13" ht="15.75" x14ac:dyDescent="0.25">
      <c r="A153" s="2" t="s">
        <v>16</v>
      </c>
      <c r="B153" s="2" t="s">
        <v>231</v>
      </c>
      <c r="C153" s="2">
        <v>4</v>
      </c>
      <c r="D153" s="2">
        <v>1844</v>
      </c>
      <c r="E153" s="2" t="s">
        <v>121</v>
      </c>
      <c r="F153" s="2">
        <v>181800</v>
      </c>
      <c r="G153" s="2" t="s">
        <v>706</v>
      </c>
      <c r="H153" s="2" t="s">
        <v>707</v>
      </c>
      <c r="I153" s="5" t="s">
        <v>705</v>
      </c>
      <c r="J153" s="2" t="str">
        <f>VLOOKUP(M153,[1]Directorate!$A:$B,2,FALSE)</f>
        <v>SI - Music Service</v>
      </c>
      <c r="K153" s="6">
        <f>ROUND(5984,2)</f>
        <v>5984</v>
      </c>
      <c r="L153" s="2">
        <v>400110</v>
      </c>
      <c r="M153" s="2">
        <v>10417</v>
      </c>
    </row>
    <row r="154" spans="1:13" ht="15.75" x14ac:dyDescent="0.25">
      <c r="A154" s="2" t="s">
        <v>16</v>
      </c>
      <c r="B154" s="2" t="s">
        <v>296</v>
      </c>
      <c r="C154" s="2">
        <v>4</v>
      </c>
      <c r="D154" s="2">
        <v>9232</v>
      </c>
      <c r="E154" s="2" t="s">
        <v>84</v>
      </c>
      <c r="F154" s="2">
        <v>150000</v>
      </c>
      <c r="G154" s="2" t="s">
        <v>716</v>
      </c>
      <c r="H154" s="2" t="s">
        <v>717</v>
      </c>
      <c r="I154" s="5" t="s">
        <v>705</v>
      </c>
      <c r="J154" s="2" t="str">
        <f>VLOOKUP(M154,[1]Directorate!$A:$B,2,FALSE)</f>
        <v>SEN Incl - Psycholog</v>
      </c>
      <c r="K154" s="6">
        <f>ROUND(2750,2)</f>
        <v>2750</v>
      </c>
      <c r="L154" s="2">
        <v>401007</v>
      </c>
      <c r="M154" s="2">
        <v>10751</v>
      </c>
    </row>
    <row r="155" spans="1:13" ht="15.75" x14ac:dyDescent="0.25">
      <c r="A155" s="2" t="s">
        <v>16</v>
      </c>
      <c r="B155" s="2" t="s">
        <v>231</v>
      </c>
      <c r="C155" s="2">
        <v>5</v>
      </c>
      <c r="D155" s="2">
        <v>1844</v>
      </c>
      <c r="E155" s="2" t="s">
        <v>121</v>
      </c>
      <c r="F155" s="2">
        <v>181800</v>
      </c>
      <c r="G155" s="2" t="s">
        <v>706</v>
      </c>
      <c r="H155" s="2" t="s">
        <v>707</v>
      </c>
      <c r="I155" s="5" t="s">
        <v>705</v>
      </c>
      <c r="J155" s="2" t="str">
        <f>VLOOKUP(M155,[1]Directorate!$A:$B,2,FALSE)</f>
        <v>SI - Music Service</v>
      </c>
      <c r="K155" s="6">
        <f>ROUND(87.5,2)</f>
        <v>87.5</v>
      </c>
      <c r="L155" s="2">
        <v>400110</v>
      </c>
      <c r="M155" s="2">
        <v>10417</v>
      </c>
    </row>
    <row r="156" spans="1:13" ht="15.75" x14ac:dyDescent="0.25">
      <c r="A156" s="2" t="s">
        <v>16</v>
      </c>
      <c r="B156" s="2" t="s">
        <v>296</v>
      </c>
      <c r="C156" s="2">
        <v>5</v>
      </c>
      <c r="D156" s="2">
        <v>9232</v>
      </c>
      <c r="E156" s="2" t="s">
        <v>84</v>
      </c>
      <c r="F156" s="2">
        <v>150000</v>
      </c>
      <c r="G156" s="2" t="s">
        <v>716</v>
      </c>
      <c r="H156" s="2" t="s">
        <v>717</v>
      </c>
      <c r="I156" s="5" t="s">
        <v>705</v>
      </c>
      <c r="J156" s="2" t="str">
        <f>VLOOKUP(M156,[1]Directorate!$A:$B,2,FALSE)</f>
        <v>SEN Incl - Psycholog</v>
      </c>
      <c r="K156" s="6">
        <f>ROUND(1375,2)</f>
        <v>1375</v>
      </c>
      <c r="L156" s="2">
        <v>401007</v>
      </c>
      <c r="M156" s="2">
        <v>10751</v>
      </c>
    </row>
    <row r="157" spans="1:13" ht="15.75" x14ac:dyDescent="0.25">
      <c r="A157" s="2" t="s">
        <v>16</v>
      </c>
      <c r="B157" s="2" t="s">
        <v>231</v>
      </c>
      <c r="C157" s="2">
        <v>6</v>
      </c>
      <c r="D157" s="2">
        <v>1844</v>
      </c>
      <c r="E157" s="2" t="s">
        <v>121</v>
      </c>
      <c r="F157" s="2">
        <v>181800</v>
      </c>
      <c r="G157" s="2" t="s">
        <v>706</v>
      </c>
      <c r="H157" s="2" t="s">
        <v>707</v>
      </c>
      <c r="I157" s="5" t="s">
        <v>705</v>
      </c>
      <c r="J157" s="2" t="str">
        <f>VLOOKUP(M157,[1]Directorate!$A:$B,2,FALSE)</f>
        <v>SI - Music Service</v>
      </c>
      <c r="K157" s="6">
        <f>ROUND(277.5,2)</f>
        <v>277.5</v>
      </c>
      <c r="L157" s="2">
        <v>400110</v>
      </c>
      <c r="M157" s="2">
        <v>10417</v>
      </c>
    </row>
    <row r="158" spans="1:13" ht="15.75" x14ac:dyDescent="0.25">
      <c r="A158" s="2" t="s">
        <v>16</v>
      </c>
      <c r="B158" s="2" t="s">
        <v>231</v>
      </c>
      <c r="C158" s="2">
        <v>7</v>
      </c>
      <c r="D158" s="2">
        <v>1844</v>
      </c>
      <c r="E158" s="2" t="s">
        <v>121</v>
      </c>
      <c r="F158" s="2">
        <v>181800</v>
      </c>
      <c r="G158" s="2" t="s">
        <v>706</v>
      </c>
      <c r="H158" s="2" t="s">
        <v>707</v>
      </c>
      <c r="I158" s="5" t="s">
        <v>705</v>
      </c>
      <c r="J158" s="2" t="str">
        <f>VLOOKUP(M158,[1]Directorate!$A:$B,2,FALSE)</f>
        <v>SI - Music Service</v>
      </c>
      <c r="K158" s="6">
        <f>ROUND(2720,2)</f>
        <v>2720</v>
      </c>
      <c r="L158" s="2">
        <v>400110</v>
      </c>
      <c r="M158" s="2">
        <v>10417</v>
      </c>
    </row>
    <row r="159" spans="1:13" ht="15.75" x14ac:dyDescent="0.25">
      <c r="A159" s="2" t="s">
        <v>16</v>
      </c>
      <c r="B159" s="2" t="s">
        <v>231</v>
      </c>
      <c r="C159" s="2">
        <v>8</v>
      </c>
      <c r="D159" s="2">
        <v>1844</v>
      </c>
      <c r="E159" s="2" t="s">
        <v>121</v>
      </c>
      <c r="F159" s="2">
        <v>181800</v>
      </c>
      <c r="G159" s="2" t="s">
        <v>706</v>
      </c>
      <c r="H159" s="2" t="s">
        <v>707</v>
      </c>
      <c r="I159" s="5" t="s">
        <v>705</v>
      </c>
      <c r="J159" s="2" t="str">
        <f>VLOOKUP(M159,[1]Directorate!$A:$B,2,FALSE)</f>
        <v>SI - Music Service</v>
      </c>
      <c r="K159" s="6">
        <f>ROUND(2868,2)</f>
        <v>2868</v>
      </c>
      <c r="L159" s="2">
        <v>400110</v>
      </c>
      <c r="M159" s="2">
        <v>10417</v>
      </c>
    </row>
    <row r="160" spans="1:13" ht="15.75" x14ac:dyDescent="0.25">
      <c r="A160" s="2" t="s">
        <v>16</v>
      </c>
      <c r="B160" s="2" t="s">
        <v>231</v>
      </c>
      <c r="C160" s="2">
        <v>9</v>
      </c>
      <c r="D160" s="2">
        <v>1844</v>
      </c>
      <c r="E160" s="2" t="s">
        <v>121</v>
      </c>
      <c r="F160" s="2">
        <v>181800</v>
      </c>
      <c r="G160" s="2" t="s">
        <v>706</v>
      </c>
      <c r="H160" s="2" t="s">
        <v>707</v>
      </c>
      <c r="I160" s="5" t="s">
        <v>705</v>
      </c>
      <c r="J160" s="2" t="str">
        <f>VLOOKUP(M160,[1]Directorate!$A:$B,2,FALSE)</f>
        <v>SI - Music Service</v>
      </c>
      <c r="K160" s="6">
        <f>ROUND(60,2)</f>
        <v>60</v>
      </c>
      <c r="L160" s="2">
        <v>400110</v>
      </c>
      <c r="M160" s="2">
        <v>10417</v>
      </c>
    </row>
    <row r="161" spans="1:13" ht="15.75" x14ac:dyDescent="0.25">
      <c r="A161" s="2" t="s">
        <v>249</v>
      </c>
      <c r="B161" s="2" t="s">
        <v>251</v>
      </c>
      <c r="C161" s="2">
        <v>1</v>
      </c>
      <c r="D161" s="2">
        <v>7753</v>
      </c>
      <c r="E161" s="2" t="s">
        <v>181</v>
      </c>
      <c r="F161" s="2">
        <v>270000</v>
      </c>
      <c r="G161" s="2" t="s">
        <v>724</v>
      </c>
      <c r="H161" s="2" t="s">
        <v>725</v>
      </c>
      <c r="I161" s="7" t="s">
        <v>714</v>
      </c>
      <c r="J161" s="2" t="e">
        <f>VLOOKUP(M161,[1]Directorate!$A:$B,2,FALSE)</f>
        <v>#N/A</v>
      </c>
      <c r="K161" s="6">
        <f>ROUND(7440,2)</f>
        <v>7440</v>
      </c>
      <c r="L161" s="2">
        <v>402001</v>
      </c>
      <c r="M161" s="2" t="s">
        <v>250</v>
      </c>
    </row>
    <row r="162" spans="1:13" ht="15.75" x14ac:dyDescent="0.25">
      <c r="A162" s="2" t="s">
        <v>249</v>
      </c>
      <c r="B162" s="2" t="s">
        <v>278</v>
      </c>
      <c r="C162" s="2">
        <v>1</v>
      </c>
      <c r="D162" s="2">
        <v>16341</v>
      </c>
      <c r="E162" s="2" t="s">
        <v>279</v>
      </c>
      <c r="F162" s="2">
        <v>390000</v>
      </c>
      <c r="G162" s="2" t="s">
        <v>703</v>
      </c>
      <c r="H162" s="2" t="s">
        <v>726</v>
      </c>
      <c r="I162" s="7" t="s">
        <v>702</v>
      </c>
      <c r="J162" s="2" t="e">
        <f>VLOOKUP(M162,[1]Directorate!$A:$B,2,FALSE)</f>
        <v>#N/A</v>
      </c>
      <c r="K162" s="6">
        <f>ROUND(6800,2)</f>
        <v>6800</v>
      </c>
      <c r="L162" s="2">
        <v>200311</v>
      </c>
      <c r="M162" s="2" t="s">
        <v>200</v>
      </c>
    </row>
    <row r="163" spans="1:13" ht="15.75" x14ac:dyDescent="0.25">
      <c r="A163" s="2" t="s">
        <v>249</v>
      </c>
      <c r="B163" s="2" t="s">
        <v>300</v>
      </c>
      <c r="C163" s="2">
        <v>1</v>
      </c>
      <c r="D163" s="2">
        <v>2451</v>
      </c>
      <c r="E163" s="2" t="s">
        <v>301</v>
      </c>
      <c r="F163" s="2">
        <v>390000</v>
      </c>
      <c r="G163" s="2" t="s">
        <v>703</v>
      </c>
      <c r="H163" s="2" t="s">
        <v>704</v>
      </c>
      <c r="I163" s="7" t="s">
        <v>702</v>
      </c>
      <c r="J163" s="2" t="e">
        <f>VLOOKUP(M163,[1]Directorate!$A:$B,2,FALSE)</f>
        <v>#N/A</v>
      </c>
      <c r="K163" s="6">
        <f>ROUND(147196,2)</f>
        <v>147196</v>
      </c>
      <c r="L163" s="2">
        <v>200123</v>
      </c>
      <c r="M163" s="2" t="s">
        <v>268</v>
      </c>
    </row>
    <row r="164" spans="1:13" ht="15.75" x14ac:dyDescent="0.25">
      <c r="A164" s="2" t="s">
        <v>249</v>
      </c>
      <c r="B164" s="2" t="s">
        <v>251</v>
      </c>
      <c r="C164" s="2">
        <v>2</v>
      </c>
      <c r="D164" s="2">
        <v>7753</v>
      </c>
      <c r="E164" s="2" t="s">
        <v>181</v>
      </c>
      <c r="F164" s="2">
        <v>270000</v>
      </c>
      <c r="G164" s="2" t="s">
        <v>724</v>
      </c>
      <c r="H164" s="2" t="s">
        <v>725</v>
      </c>
      <c r="I164" s="7" t="s">
        <v>714</v>
      </c>
      <c r="J164" s="2" t="e">
        <f>VLOOKUP(M164,[1]Directorate!$A:$B,2,FALSE)</f>
        <v>#N/A</v>
      </c>
      <c r="K164" s="6">
        <f>ROUND(4360,2)</f>
        <v>4360</v>
      </c>
      <c r="L164" s="2">
        <v>402001</v>
      </c>
      <c r="M164" s="2" t="s">
        <v>250</v>
      </c>
    </row>
    <row r="165" spans="1:13" ht="15.75" x14ac:dyDescent="0.25">
      <c r="A165" s="2" t="s">
        <v>249</v>
      </c>
      <c r="B165" s="2" t="s">
        <v>251</v>
      </c>
      <c r="C165" s="2">
        <v>3</v>
      </c>
      <c r="D165" s="2">
        <v>7753</v>
      </c>
      <c r="E165" s="2" t="s">
        <v>181</v>
      </c>
      <c r="F165" s="2">
        <v>270000</v>
      </c>
      <c r="G165" s="2" t="s">
        <v>724</v>
      </c>
      <c r="H165" s="2" t="s">
        <v>725</v>
      </c>
      <c r="I165" s="7" t="s">
        <v>714</v>
      </c>
      <c r="J165" s="2" t="e">
        <f>VLOOKUP(M165,[1]Directorate!$A:$B,2,FALSE)</f>
        <v>#N/A</v>
      </c>
      <c r="K165" s="6">
        <f>ROUND(1225,2)</f>
        <v>1225</v>
      </c>
      <c r="L165" s="2">
        <v>402001</v>
      </c>
      <c r="M165" s="2" t="s">
        <v>250</v>
      </c>
    </row>
    <row r="166" spans="1:13" ht="15.75" x14ac:dyDescent="0.25">
      <c r="A166" s="2" t="s">
        <v>187</v>
      </c>
      <c r="B166" s="2" t="s">
        <v>265</v>
      </c>
      <c r="C166" s="2">
        <v>1</v>
      </c>
      <c r="D166" s="2">
        <v>5214</v>
      </c>
      <c r="E166" s="2" t="s">
        <v>262</v>
      </c>
      <c r="F166" s="2">
        <v>150000</v>
      </c>
      <c r="G166" s="2" t="s">
        <v>716</v>
      </c>
      <c r="H166" s="2" t="s">
        <v>717</v>
      </c>
      <c r="I166" s="5" t="s">
        <v>714</v>
      </c>
      <c r="J166" s="2" t="str">
        <f>VLOOKUP(M166,[1]Directorate!$A:$B,2,FALSE)</f>
        <v>MS Design Frnwk Staf</v>
      </c>
      <c r="K166" s="6">
        <f>ROUND(49868.1,2)</f>
        <v>49868.1</v>
      </c>
      <c r="L166" s="2">
        <v>401020</v>
      </c>
      <c r="M166" s="2">
        <v>13107</v>
      </c>
    </row>
    <row r="167" spans="1:13" ht="15.75" x14ac:dyDescent="0.25">
      <c r="A167" s="2" t="s">
        <v>187</v>
      </c>
      <c r="B167" s="2" t="s">
        <v>269</v>
      </c>
      <c r="C167" s="2">
        <v>1</v>
      </c>
      <c r="D167" s="2">
        <v>5214</v>
      </c>
      <c r="E167" s="2" t="s">
        <v>262</v>
      </c>
      <c r="F167" s="2">
        <v>150000</v>
      </c>
      <c r="G167" s="2" t="s">
        <v>716</v>
      </c>
      <c r="H167" s="2" t="s">
        <v>717</v>
      </c>
      <c r="I167" s="5" t="s">
        <v>714</v>
      </c>
      <c r="J167" s="2" t="str">
        <f>VLOOKUP(M167,[1]Directorate!$A:$B,2,FALSE)</f>
        <v>MS Design Frnwk Staf</v>
      </c>
      <c r="K167" s="6">
        <f>ROUND(49868.1,2)</f>
        <v>49868.1</v>
      </c>
      <c r="L167" s="2">
        <v>401020</v>
      </c>
      <c r="M167" s="2">
        <v>13107</v>
      </c>
    </row>
    <row r="168" spans="1:13" ht="15.75" x14ac:dyDescent="0.25">
      <c r="A168" s="2" t="s">
        <v>187</v>
      </c>
      <c r="B168" s="2" t="s">
        <v>304</v>
      </c>
      <c r="C168" s="2">
        <v>1</v>
      </c>
      <c r="D168" s="2">
        <v>2479</v>
      </c>
      <c r="E168" s="2" t="s">
        <v>303</v>
      </c>
      <c r="F168" s="2">
        <v>390000</v>
      </c>
      <c r="G168" s="2" t="s">
        <v>703</v>
      </c>
      <c r="H168" s="2" t="s">
        <v>704</v>
      </c>
      <c r="I168" s="5" t="s">
        <v>714</v>
      </c>
      <c r="J168" s="2" t="str">
        <f>VLOOKUP(M168,[1]Directorate!$A:$B,2,FALSE)</f>
        <v>StockportArt Gallery</v>
      </c>
      <c r="K168" s="6">
        <f>ROUND(9316.8,2)</f>
        <v>9316.7999999999993</v>
      </c>
      <c r="L168" s="2">
        <v>200123</v>
      </c>
      <c r="M168" s="2">
        <v>11378</v>
      </c>
    </row>
    <row r="169" spans="1:13" ht="15.75" x14ac:dyDescent="0.25">
      <c r="A169" s="2" t="s">
        <v>187</v>
      </c>
      <c r="B169" s="2" t="s">
        <v>305</v>
      </c>
      <c r="C169" s="2">
        <v>1</v>
      </c>
      <c r="D169" s="2">
        <v>2479</v>
      </c>
      <c r="E169" s="2" t="s">
        <v>303</v>
      </c>
      <c r="F169" s="2">
        <v>390000</v>
      </c>
      <c r="G169" s="2" t="s">
        <v>703</v>
      </c>
      <c r="H169" s="2" t="s">
        <v>704</v>
      </c>
      <c r="I169" s="5" t="s">
        <v>714</v>
      </c>
      <c r="J169" s="2" t="str">
        <f>VLOOKUP(M169,[1]Directorate!$A:$B,2,FALSE)</f>
        <v>StockportArt Gallery</v>
      </c>
      <c r="K169" s="6">
        <f>ROUND(6523.2,2)</f>
        <v>6523.2</v>
      </c>
      <c r="L169" s="2">
        <v>200123</v>
      </c>
      <c r="M169" s="2">
        <v>11378</v>
      </c>
    </row>
    <row r="170" spans="1:13" ht="15.75" x14ac:dyDescent="0.25">
      <c r="A170" s="2" t="s">
        <v>187</v>
      </c>
      <c r="B170" s="2" t="s">
        <v>306</v>
      </c>
      <c r="C170" s="2">
        <v>1</v>
      </c>
      <c r="D170" s="2">
        <v>2479</v>
      </c>
      <c r="E170" s="2" t="s">
        <v>303</v>
      </c>
      <c r="F170" s="2">
        <v>390000</v>
      </c>
      <c r="G170" s="2" t="s">
        <v>703</v>
      </c>
      <c r="H170" s="2" t="s">
        <v>704</v>
      </c>
      <c r="I170" s="5" t="s">
        <v>714</v>
      </c>
      <c r="J170" s="2" t="str">
        <f>VLOOKUP(M170,[1]Directorate!$A:$B,2,FALSE)</f>
        <v>StockportArt Gallery</v>
      </c>
      <c r="K170" s="6">
        <f>ROUND(6480,2)</f>
        <v>6480</v>
      </c>
      <c r="L170" s="2">
        <v>200123</v>
      </c>
      <c r="M170" s="2">
        <v>11378</v>
      </c>
    </row>
    <row r="171" spans="1:13" ht="15.75" x14ac:dyDescent="0.25">
      <c r="A171" s="2" t="s">
        <v>187</v>
      </c>
      <c r="B171" s="2" t="s">
        <v>307</v>
      </c>
      <c r="C171" s="2">
        <v>1</v>
      </c>
      <c r="D171" s="2">
        <v>16219</v>
      </c>
      <c r="E171" s="2" t="s">
        <v>308</v>
      </c>
      <c r="F171" s="2">
        <v>390000</v>
      </c>
      <c r="G171" s="2" t="s">
        <v>703</v>
      </c>
      <c r="H171" s="2" t="s">
        <v>704</v>
      </c>
      <c r="I171" s="7" t="s">
        <v>702</v>
      </c>
      <c r="J171" s="2" t="e">
        <f>VLOOKUP(M171,[1]Directorate!$A:$B,2,FALSE)</f>
        <v>#N/A</v>
      </c>
      <c r="K171" s="6">
        <f>ROUND(1032,2)</f>
        <v>1032</v>
      </c>
      <c r="L171" s="2">
        <v>200123</v>
      </c>
      <c r="M171" s="2" t="s">
        <v>309</v>
      </c>
    </row>
    <row r="172" spans="1:13" ht="15.75" x14ac:dyDescent="0.25">
      <c r="A172" s="2" t="s">
        <v>187</v>
      </c>
      <c r="B172" s="2" t="s">
        <v>310</v>
      </c>
      <c r="C172" s="2">
        <v>1</v>
      </c>
      <c r="D172" s="2">
        <v>7030</v>
      </c>
      <c r="E172" s="2" t="s">
        <v>143</v>
      </c>
      <c r="F172" s="2">
        <v>999999</v>
      </c>
      <c r="G172" s="2" t="s">
        <v>746</v>
      </c>
      <c r="H172" s="2" t="s">
        <v>746</v>
      </c>
      <c r="I172" s="5" t="s">
        <v>705</v>
      </c>
      <c r="J172" s="2" t="str">
        <f>VLOOKUP(M172,[1]Directorate!$A:$B,2,FALSE)</f>
        <v>RAA Adoption Count</v>
      </c>
      <c r="K172" s="6">
        <f>ROUND(73356,2)</f>
        <v>73356</v>
      </c>
      <c r="L172" s="2">
        <v>500303</v>
      </c>
      <c r="M172" s="2">
        <v>12957</v>
      </c>
    </row>
    <row r="173" spans="1:13" ht="15.75" x14ac:dyDescent="0.25">
      <c r="A173" s="2" t="s">
        <v>187</v>
      </c>
      <c r="B173" s="2" t="s">
        <v>307</v>
      </c>
      <c r="C173" s="2">
        <v>2</v>
      </c>
      <c r="D173" s="2">
        <v>16219</v>
      </c>
      <c r="E173" s="2" t="s">
        <v>308</v>
      </c>
      <c r="F173" s="2">
        <v>390000</v>
      </c>
      <c r="G173" s="2" t="s">
        <v>703</v>
      </c>
      <c r="H173" s="2" t="s">
        <v>704</v>
      </c>
      <c r="I173" s="7" t="s">
        <v>702</v>
      </c>
      <c r="J173" s="2" t="e">
        <f>VLOOKUP(M173,[1]Directorate!$A:$B,2,FALSE)</f>
        <v>#N/A</v>
      </c>
      <c r="K173" s="6">
        <f>ROUND(1548,2)</f>
        <v>1548</v>
      </c>
      <c r="L173" s="2">
        <v>200123</v>
      </c>
      <c r="M173" s="2" t="s">
        <v>309</v>
      </c>
    </row>
    <row r="174" spans="1:13" ht="15.75" x14ac:dyDescent="0.25">
      <c r="A174" s="2" t="s">
        <v>187</v>
      </c>
      <c r="B174" s="2" t="s">
        <v>307</v>
      </c>
      <c r="C174" s="2">
        <v>3</v>
      </c>
      <c r="D174" s="2">
        <v>16219</v>
      </c>
      <c r="E174" s="2" t="s">
        <v>308</v>
      </c>
      <c r="F174" s="2">
        <v>390000</v>
      </c>
      <c r="G174" s="2" t="s">
        <v>703</v>
      </c>
      <c r="H174" s="2" t="s">
        <v>704</v>
      </c>
      <c r="I174" s="7" t="s">
        <v>702</v>
      </c>
      <c r="J174" s="2" t="e">
        <f>VLOOKUP(M174,[1]Directorate!$A:$B,2,FALSE)</f>
        <v>#N/A</v>
      </c>
      <c r="K174" s="6">
        <f>ROUND(3874,2)</f>
        <v>3874</v>
      </c>
      <c r="L174" s="2">
        <v>200123</v>
      </c>
      <c r="M174" s="2" t="s">
        <v>309</v>
      </c>
    </row>
    <row r="175" spans="1:13" ht="15.75" x14ac:dyDescent="0.25">
      <c r="A175" s="2" t="s">
        <v>187</v>
      </c>
      <c r="B175" s="2" t="s">
        <v>307</v>
      </c>
      <c r="C175" s="2">
        <v>4</v>
      </c>
      <c r="D175" s="2">
        <v>16219</v>
      </c>
      <c r="E175" s="2" t="s">
        <v>308</v>
      </c>
      <c r="F175" s="2">
        <v>390000</v>
      </c>
      <c r="G175" s="2" t="s">
        <v>703</v>
      </c>
      <c r="H175" s="2" t="s">
        <v>704</v>
      </c>
      <c r="I175" s="7" t="s">
        <v>702</v>
      </c>
      <c r="J175" s="2" t="e">
        <f>VLOOKUP(M175,[1]Directorate!$A:$B,2,FALSE)</f>
        <v>#N/A</v>
      </c>
      <c r="K175" s="6">
        <f>ROUND(125,2)</f>
        <v>125</v>
      </c>
      <c r="L175" s="2">
        <v>200123</v>
      </c>
      <c r="M175" s="2" t="s">
        <v>309</v>
      </c>
    </row>
    <row r="176" spans="1:13" ht="15.75" x14ac:dyDescent="0.25">
      <c r="A176" s="2" t="s">
        <v>298</v>
      </c>
      <c r="B176" s="2" t="s">
        <v>312</v>
      </c>
      <c r="C176" s="2">
        <v>1</v>
      </c>
      <c r="D176" s="2">
        <v>14686</v>
      </c>
      <c r="E176" s="2" t="s">
        <v>313</v>
      </c>
      <c r="F176" s="2">
        <v>320000</v>
      </c>
      <c r="G176" s="2" t="s">
        <v>741</v>
      </c>
      <c r="H176" s="2" t="s">
        <v>742</v>
      </c>
      <c r="I176" s="5" t="s">
        <v>702</v>
      </c>
      <c r="J176" s="2" t="str">
        <f>VLOOKUP(M176,[1]Directorate!$A:$B,2,FALSE)</f>
        <v>HSF 5</v>
      </c>
      <c r="K176" s="6">
        <f>ROUND(16550,2)</f>
        <v>16550</v>
      </c>
      <c r="L176" s="2">
        <v>402403</v>
      </c>
      <c r="M176" s="2">
        <v>13239</v>
      </c>
    </row>
    <row r="177" spans="1:13" ht="15.75" x14ac:dyDescent="0.25">
      <c r="A177" s="2" t="s">
        <v>298</v>
      </c>
      <c r="B177" s="2" t="s">
        <v>315</v>
      </c>
      <c r="C177" s="2">
        <v>1</v>
      </c>
      <c r="D177" s="2">
        <v>6748</v>
      </c>
      <c r="E177" s="2" t="s">
        <v>11</v>
      </c>
      <c r="F177" s="2">
        <v>390000</v>
      </c>
      <c r="G177" s="2" t="s">
        <v>713</v>
      </c>
      <c r="H177" s="2" t="s">
        <v>713</v>
      </c>
      <c r="I177" s="7" t="s">
        <v>714</v>
      </c>
      <c r="J177" s="2" t="e">
        <f>VLOOKUP(M177,[1]Directorate!$A:$B,2,FALSE)</f>
        <v>#N/A</v>
      </c>
      <c r="K177" s="6">
        <f>ROUND(215566.77,2)</f>
        <v>215566.77</v>
      </c>
      <c r="L177" s="2">
        <v>401600</v>
      </c>
      <c r="M177" s="2" t="s">
        <v>282</v>
      </c>
    </row>
    <row r="178" spans="1:13" ht="15.75" x14ac:dyDescent="0.25">
      <c r="A178" s="2" t="s">
        <v>298</v>
      </c>
      <c r="B178" s="2" t="s">
        <v>316</v>
      </c>
      <c r="C178" s="2">
        <v>1</v>
      </c>
      <c r="D178" s="2">
        <v>6748</v>
      </c>
      <c r="E178" s="2" t="s">
        <v>11</v>
      </c>
      <c r="F178" s="2">
        <v>390000</v>
      </c>
      <c r="G178" s="2" t="s">
        <v>713</v>
      </c>
      <c r="H178" s="2" t="s">
        <v>713</v>
      </c>
      <c r="I178" s="7" t="s">
        <v>714</v>
      </c>
      <c r="J178" s="2" t="e">
        <f>VLOOKUP(M178,[1]Directorate!$A:$B,2,FALSE)</f>
        <v>#N/A</v>
      </c>
      <c r="K178" s="6">
        <f>ROUND(66428.94,2)</f>
        <v>66428.94</v>
      </c>
      <c r="L178" s="2">
        <v>401600</v>
      </c>
      <c r="M178" s="2" t="s">
        <v>317</v>
      </c>
    </row>
    <row r="179" spans="1:13" ht="15.75" x14ac:dyDescent="0.25">
      <c r="A179" s="2" t="s">
        <v>188</v>
      </c>
      <c r="B179" s="2" t="s">
        <v>314</v>
      </c>
      <c r="C179" s="2">
        <v>1</v>
      </c>
      <c r="D179" s="2">
        <v>12793</v>
      </c>
      <c r="E179" s="2" t="s">
        <v>63</v>
      </c>
      <c r="F179" s="2">
        <v>999999</v>
      </c>
      <c r="G179" s="2" t="s">
        <v>715</v>
      </c>
      <c r="H179" s="2" t="s">
        <v>715</v>
      </c>
      <c r="I179" s="5" t="s">
        <v>705</v>
      </c>
      <c r="J179" s="2" t="str">
        <f>VLOOKUP(M179,[1]Directorate!$A:$B,2,FALSE)</f>
        <v>RAA - ASF Grant</v>
      </c>
      <c r="K179" s="6">
        <f>ROUND(5000,2)</f>
        <v>5000</v>
      </c>
      <c r="L179" s="2">
        <v>401035</v>
      </c>
      <c r="M179" s="2">
        <v>12968</v>
      </c>
    </row>
    <row r="180" spans="1:13" ht="15.75" x14ac:dyDescent="0.25">
      <c r="A180" s="2" t="s">
        <v>188</v>
      </c>
      <c r="B180" s="2" t="s">
        <v>321</v>
      </c>
      <c r="C180" s="2">
        <v>1</v>
      </c>
      <c r="D180" s="2">
        <v>1196</v>
      </c>
      <c r="E180" s="2" t="s">
        <v>70</v>
      </c>
      <c r="F180" s="2">
        <v>130000</v>
      </c>
      <c r="G180" s="2" t="s">
        <v>750</v>
      </c>
      <c r="H180" s="2" t="s">
        <v>751</v>
      </c>
      <c r="I180" s="7" t="s">
        <v>705</v>
      </c>
      <c r="J180" s="2" t="e">
        <f>VLOOKUP(M180,[1]Directorate!$A:$B,2,FALSE)</f>
        <v>#N/A</v>
      </c>
      <c r="K180" s="6">
        <f>ROUND(8890,2)</f>
        <v>8890</v>
      </c>
      <c r="L180" s="2">
        <v>201602</v>
      </c>
      <c r="M180" s="2" t="s">
        <v>322</v>
      </c>
    </row>
    <row r="181" spans="1:13" ht="15.75" x14ac:dyDescent="0.25">
      <c r="A181" s="2" t="s">
        <v>166</v>
      </c>
      <c r="B181" s="2" t="s">
        <v>319</v>
      </c>
      <c r="C181" s="2">
        <v>1</v>
      </c>
      <c r="D181" s="2">
        <v>2479</v>
      </c>
      <c r="E181" s="2" t="s">
        <v>303</v>
      </c>
      <c r="F181" s="2">
        <v>390000</v>
      </c>
      <c r="G181" s="2" t="s">
        <v>703</v>
      </c>
      <c r="H181" s="2" t="s">
        <v>704</v>
      </c>
      <c r="I181" s="5" t="s">
        <v>714</v>
      </c>
      <c r="J181" s="2" t="str">
        <f>VLOOKUP(M181,[1]Directorate!$A:$B,2,FALSE)</f>
        <v>StockportArt Gallery</v>
      </c>
      <c r="K181" s="6">
        <f>ROUND(6960,2)</f>
        <v>6960</v>
      </c>
      <c r="L181" s="2">
        <v>200123</v>
      </c>
      <c r="M181" s="2">
        <v>11378</v>
      </c>
    </row>
    <row r="182" spans="1:13" ht="15.75" x14ac:dyDescent="0.25">
      <c r="A182" s="2" t="s">
        <v>166</v>
      </c>
      <c r="B182" s="2" t="s">
        <v>323</v>
      </c>
      <c r="C182" s="2">
        <v>1</v>
      </c>
      <c r="D182" s="2">
        <v>3529</v>
      </c>
      <c r="E182" s="2" t="s">
        <v>20</v>
      </c>
      <c r="F182" s="2">
        <v>390000</v>
      </c>
      <c r="G182" s="2" t="s">
        <v>713</v>
      </c>
      <c r="H182" s="2" t="s">
        <v>713</v>
      </c>
      <c r="I182" s="7" t="s">
        <v>714</v>
      </c>
      <c r="J182" s="2" t="e">
        <f>VLOOKUP(M182,[1]Directorate!$A:$B,2,FALSE)</f>
        <v>#N/A</v>
      </c>
      <c r="K182" s="6">
        <f>ROUND(9685.92,2)</f>
        <v>9685.92</v>
      </c>
      <c r="L182" s="2">
        <v>401600</v>
      </c>
      <c r="M182" s="2" t="s">
        <v>282</v>
      </c>
    </row>
    <row r="183" spans="1:13" ht="15.75" x14ac:dyDescent="0.25">
      <c r="A183" s="2" t="s">
        <v>166</v>
      </c>
      <c r="B183" s="2" t="s">
        <v>325</v>
      </c>
      <c r="C183" s="2">
        <v>1</v>
      </c>
      <c r="D183" s="2">
        <v>14196</v>
      </c>
      <c r="E183" s="2" t="s">
        <v>326</v>
      </c>
      <c r="F183" s="2">
        <v>290000</v>
      </c>
      <c r="G183" s="2" t="s">
        <v>752</v>
      </c>
      <c r="H183" s="2" t="s">
        <v>753</v>
      </c>
      <c r="I183" s="5" t="s">
        <v>714</v>
      </c>
      <c r="J183" s="2" t="str">
        <f>VLOOKUP(M183,[1]Directorate!$A:$B,2,FALSE)</f>
        <v>Economic Development</v>
      </c>
      <c r="K183" s="6">
        <f>ROUND(8200,2)</f>
        <v>8200</v>
      </c>
      <c r="L183" s="2">
        <v>401801</v>
      </c>
      <c r="M183" s="2">
        <v>10103</v>
      </c>
    </row>
    <row r="184" spans="1:13" ht="15.75" x14ac:dyDescent="0.25">
      <c r="A184" s="2" t="s">
        <v>166</v>
      </c>
      <c r="B184" s="2" t="s">
        <v>327</v>
      </c>
      <c r="C184" s="2">
        <v>1</v>
      </c>
      <c r="D184" s="2">
        <v>9882</v>
      </c>
      <c r="E184" s="2" t="s">
        <v>72</v>
      </c>
      <c r="F184" s="2">
        <v>390000</v>
      </c>
      <c r="G184" s="2" t="s">
        <v>713</v>
      </c>
      <c r="H184" s="2" t="s">
        <v>713</v>
      </c>
      <c r="I184" s="5" t="s">
        <v>705</v>
      </c>
      <c r="J184" s="2" t="str">
        <f>VLOOKUP(M184,[1]Directorate!$A:$B,2,FALSE)</f>
        <v>Condition Surveys</v>
      </c>
      <c r="K184" s="6">
        <f>ROUND(16965,2)</f>
        <v>16965</v>
      </c>
      <c r="L184" s="2">
        <v>401600</v>
      </c>
      <c r="M184" s="2">
        <v>10734</v>
      </c>
    </row>
    <row r="185" spans="1:13" ht="15.75" x14ac:dyDescent="0.25">
      <c r="A185" s="2" t="s">
        <v>166</v>
      </c>
      <c r="B185" s="2" t="s">
        <v>332</v>
      </c>
      <c r="C185" s="2">
        <v>1</v>
      </c>
      <c r="D185" s="2">
        <v>14666</v>
      </c>
      <c r="E185" s="2" t="s">
        <v>255</v>
      </c>
      <c r="F185" s="2">
        <v>181800</v>
      </c>
      <c r="G185" s="2" t="s">
        <v>706</v>
      </c>
      <c r="H185" s="2" t="s">
        <v>707</v>
      </c>
      <c r="I185" s="5" t="s">
        <v>705</v>
      </c>
      <c r="J185" s="2" t="str">
        <f>VLOOKUP(M185,[1]Directorate!$A:$B,2,FALSE)</f>
        <v>Highfields PRU</v>
      </c>
      <c r="K185" s="6">
        <f>ROUND(5188.16,2)</f>
        <v>5188.16</v>
      </c>
      <c r="L185" s="2">
        <v>400110</v>
      </c>
      <c r="M185" s="2">
        <v>10329</v>
      </c>
    </row>
    <row r="186" spans="1:13" ht="15.75" x14ac:dyDescent="0.25">
      <c r="A186" s="2" t="s">
        <v>299</v>
      </c>
      <c r="B186" s="2" t="s">
        <v>333</v>
      </c>
      <c r="C186" s="2">
        <v>1</v>
      </c>
      <c r="D186" s="2">
        <v>35</v>
      </c>
      <c r="E186" s="2" t="s">
        <v>22</v>
      </c>
      <c r="F186" s="2">
        <v>210000</v>
      </c>
      <c r="G186" s="2" t="s">
        <v>708</v>
      </c>
      <c r="H186" s="2" t="s">
        <v>707</v>
      </c>
      <c r="I186" s="5" t="s">
        <v>714</v>
      </c>
      <c r="J186" s="2" t="str">
        <f>VLOOKUP(M186,[1]Directorate!$A:$B,2,FALSE)</f>
        <v>Contin Educ Service</v>
      </c>
      <c r="K186" s="6">
        <f>ROUND(4900,2)</f>
        <v>4900</v>
      </c>
      <c r="L186" s="2">
        <v>400115</v>
      </c>
      <c r="M186" s="2">
        <v>10511</v>
      </c>
    </row>
    <row r="187" spans="1:13" ht="15.75" x14ac:dyDescent="0.25">
      <c r="A187" s="2" t="s">
        <v>299</v>
      </c>
      <c r="B187" s="2" t="s">
        <v>336</v>
      </c>
      <c r="C187" s="2">
        <v>1</v>
      </c>
      <c r="D187" s="2">
        <v>14132</v>
      </c>
      <c r="E187" s="2" t="s">
        <v>337</v>
      </c>
      <c r="F187" s="2">
        <v>390000</v>
      </c>
      <c r="G187" s="2" t="s">
        <v>703</v>
      </c>
      <c r="H187" s="2" t="s">
        <v>704</v>
      </c>
      <c r="I187" s="7" t="s">
        <v>705</v>
      </c>
      <c r="J187" s="2" t="e">
        <f>VLOOKUP(M187,[1]Directorate!$A:$B,2,FALSE)</f>
        <v>#N/A</v>
      </c>
      <c r="K187" s="6">
        <f>ROUND(182439.78,2)</f>
        <v>182439.78</v>
      </c>
      <c r="L187" s="2">
        <v>200123</v>
      </c>
      <c r="M187" s="2" t="s">
        <v>320</v>
      </c>
    </row>
    <row r="188" spans="1:13" ht="15.75" x14ac:dyDescent="0.25">
      <c r="A188" s="2" t="s">
        <v>299</v>
      </c>
      <c r="B188" s="2" t="s">
        <v>333</v>
      </c>
      <c r="C188" s="2">
        <v>2</v>
      </c>
      <c r="D188" s="2">
        <v>35</v>
      </c>
      <c r="E188" s="2" t="s">
        <v>22</v>
      </c>
      <c r="F188" s="2">
        <v>210000</v>
      </c>
      <c r="G188" s="2" t="s">
        <v>708</v>
      </c>
      <c r="H188" s="2" t="s">
        <v>707</v>
      </c>
      <c r="I188" s="5" t="s">
        <v>714</v>
      </c>
      <c r="J188" s="2" t="str">
        <f>VLOOKUP(M188,[1]Directorate!$A:$B,2,FALSE)</f>
        <v>Contin Educ Service</v>
      </c>
      <c r="K188" s="6">
        <f>ROUND(1925,2)</f>
        <v>1925</v>
      </c>
      <c r="L188" s="2">
        <v>400115</v>
      </c>
      <c r="M188" s="2">
        <v>10511</v>
      </c>
    </row>
    <row r="189" spans="1:13" ht="15.75" x14ac:dyDescent="0.25">
      <c r="A189" s="2" t="s">
        <v>299</v>
      </c>
      <c r="B189" s="2" t="s">
        <v>333</v>
      </c>
      <c r="C189" s="2">
        <v>3</v>
      </c>
      <c r="D189" s="2">
        <v>35</v>
      </c>
      <c r="E189" s="2" t="s">
        <v>22</v>
      </c>
      <c r="F189" s="2">
        <v>210000</v>
      </c>
      <c r="G189" s="2" t="s">
        <v>708</v>
      </c>
      <c r="H189" s="2" t="s">
        <v>707</v>
      </c>
      <c r="I189" s="5" t="s">
        <v>714</v>
      </c>
      <c r="J189" s="2" t="str">
        <f>VLOOKUP(M189,[1]Directorate!$A:$B,2,FALSE)</f>
        <v>Contin Educ Service</v>
      </c>
      <c r="K189" s="6">
        <f>ROUND(998.75,2)</f>
        <v>998.75</v>
      </c>
      <c r="L189" s="2">
        <v>400115</v>
      </c>
      <c r="M189" s="2">
        <v>10511</v>
      </c>
    </row>
    <row r="190" spans="1:13" ht="15.75" x14ac:dyDescent="0.25">
      <c r="A190" s="2" t="s">
        <v>318</v>
      </c>
      <c r="B190" s="2" t="s">
        <v>341</v>
      </c>
      <c r="C190" s="2">
        <v>1</v>
      </c>
      <c r="D190" s="2">
        <v>815</v>
      </c>
      <c r="E190" s="2" t="s">
        <v>120</v>
      </c>
      <c r="F190" s="2">
        <v>150000</v>
      </c>
      <c r="G190" s="2" t="s">
        <v>716</v>
      </c>
      <c r="H190" s="2" t="s">
        <v>717</v>
      </c>
      <c r="I190" s="5" t="s">
        <v>705</v>
      </c>
      <c r="J190" s="2" t="str">
        <f>VLOOKUP(M190,[1]Directorate!$A:$B,2,FALSE)</f>
        <v>SI - Advisers</v>
      </c>
      <c r="K190" s="6">
        <f>ROUND(5250,2)</f>
        <v>5250</v>
      </c>
      <c r="L190" s="2">
        <v>401007</v>
      </c>
      <c r="M190" s="2">
        <v>10727</v>
      </c>
    </row>
    <row r="191" spans="1:13" ht="15.75" x14ac:dyDescent="0.25">
      <c r="A191" s="2" t="s">
        <v>318</v>
      </c>
      <c r="B191" s="2" t="s">
        <v>344</v>
      </c>
      <c r="C191" s="2">
        <v>1</v>
      </c>
      <c r="D191" s="2">
        <v>7025</v>
      </c>
      <c r="E191" s="2" t="s">
        <v>221</v>
      </c>
      <c r="F191" s="2">
        <v>150000</v>
      </c>
      <c r="G191" s="2" t="s">
        <v>716</v>
      </c>
      <c r="H191" s="2" t="s">
        <v>717</v>
      </c>
      <c r="I191" s="5" t="s">
        <v>714</v>
      </c>
      <c r="J191" s="2" t="str">
        <f>VLOOKUP(M191,[1]Directorate!$A:$B,2,FALSE)</f>
        <v>Property Client Acct</v>
      </c>
      <c r="K191" s="6">
        <f>ROUND(6250,2)</f>
        <v>6250</v>
      </c>
      <c r="L191" s="2">
        <v>401020</v>
      </c>
      <c r="M191" s="2">
        <v>11137</v>
      </c>
    </row>
    <row r="192" spans="1:13" ht="15.75" x14ac:dyDescent="0.25">
      <c r="A192" s="2" t="s">
        <v>318</v>
      </c>
      <c r="B192" s="2" t="s">
        <v>345</v>
      </c>
      <c r="C192" s="2">
        <v>1</v>
      </c>
      <c r="D192" s="2">
        <v>7025</v>
      </c>
      <c r="E192" s="2" t="s">
        <v>221</v>
      </c>
      <c r="F192" s="2">
        <v>150000</v>
      </c>
      <c r="G192" s="2" t="s">
        <v>716</v>
      </c>
      <c r="H192" s="2" t="s">
        <v>717</v>
      </c>
      <c r="I192" s="5" t="s">
        <v>714</v>
      </c>
      <c r="J192" s="2" t="str">
        <f>VLOOKUP(M192,[1]Directorate!$A:$B,2,FALSE)</f>
        <v>Property Client Acct</v>
      </c>
      <c r="K192" s="6">
        <f>ROUND(31250,2)</f>
        <v>31250</v>
      </c>
      <c r="L192" s="2">
        <v>401020</v>
      </c>
      <c r="M192" s="2">
        <v>11137</v>
      </c>
    </row>
    <row r="193" spans="1:13" ht="15.75" x14ac:dyDescent="0.25">
      <c r="A193" s="2" t="s">
        <v>318</v>
      </c>
      <c r="B193" s="2" t="s">
        <v>346</v>
      </c>
      <c r="C193" s="2">
        <v>1</v>
      </c>
      <c r="D193" s="2">
        <v>1196</v>
      </c>
      <c r="E193" s="2" t="s">
        <v>70</v>
      </c>
      <c r="F193" s="2">
        <v>130000</v>
      </c>
      <c r="G193" s="2" t="s">
        <v>750</v>
      </c>
      <c r="H193" s="2" t="s">
        <v>751</v>
      </c>
      <c r="I193" s="7" t="s">
        <v>705</v>
      </c>
      <c r="J193" s="2" t="e">
        <f>VLOOKUP(M193,[1]Directorate!$A:$B,2,FALSE)</f>
        <v>#N/A</v>
      </c>
      <c r="K193" s="6">
        <f>ROUND(5475,2)</f>
        <v>5475</v>
      </c>
      <c r="L193" s="2">
        <v>201602</v>
      </c>
      <c r="M193" s="2" t="s">
        <v>322</v>
      </c>
    </row>
    <row r="194" spans="1:13" ht="15.75" x14ac:dyDescent="0.25">
      <c r="A194" s="2" t="s">
        <v>335</v>
      </c>
      <c r="B194" s="2" t="s">
        <v>347</v>
      </c>
      <c r="C194" s="2">
        <v>1</v>
      </c>
      <c r="D194" s="2">
        <v>2816</v>
      </c>
      <c r="E194" s="2" t="s">
        <v>348</v>
      </c>
      <c r="F194" s="2">
        <v>150000</v>
      </c>
      <c r="G194" s="2" t="s">
        <v>716</v>
      </c>
      <c r="H194" s="2" t="s">
        <v>717</v>
      </c>
      <c r="I194" s="5" t="s">
        <v>705</v>
      </c>
      <c r="J194" s="2" t="str">
        <f>VLOOKUP(M194,[1]Directorate!$A:$B,2,FALSE)</f>
        <v>FP - Fostering Staff</v>
      </c>
      <c r="K194" s="6">
        <f>ROUND(8800,2)</f>
        <v>8800</v>
      </c>
      <c r="L194" s="2">
        <v>401020</v>
      </c>
      <c r="M194" s="2">
        <v>11489</v>
      </c>
    </row>
    <row r="195" spans="1:13" ht="15.75" x14ac:dyDescent="0.25">
      <c r="A195" s="2" t="s">
        <v>335</v>
      </c>
      <c r="B195" s="2" t="s">
        <v>349</v>
      </c>
      <c r="C195" s="2">
        <v>1</v>
      </c>
      <c r="D195" s="2">
        <v>2658</v>
      </c>
      <c r="E195" s="2" t="s">
        <v>350</v>
      </c>
      <c r="F195" s="2">
        <v>270000</v>
      </c>
      <c r="G195" s="2" t="s">
        <v>724</v>
      </c>
      <c r="H195" s="2" t="s">
        <v>725</v>
      </c>
      <c r="I195" s="5" t="s">
        <v>705</v>
      </c>
      <c r="J195" s="2" t="str">
        <f>VLOOKUP(M195,[1]Directorate!$A:$B,2,FALSE)</f>
        <v>TM REaCH</v>
      </c>
      <c r="K195" s="6">
        <f>ROUND(12225.77,2)</f>
        <v>12225.77</v>
      </c>
      <c r="L195" s="2">
        <v>402001</v>
      </c>
      <c r="M195" s="2">
        <v>12714</v>
      </c>
    </row>
    <row r="196" spans="1:13" ht="15.75" x14ac:dyDescent="0.25">
      <c r="A196" s="2" t="s">
        <v>335</v>
      </c>
      <c r="B196" s="2" t="s">
        <v>353</v>
      </c>
      <c r="C196" s="2">
        <v>1</v>
      </c>
      <c r="D196" s="2">
        <v>15988</v>
      </c>
      <c r="E196" s="2" t="s">
        <v>354</v>
      </c>
      <c r="F196" s="2">
        <v>390000</v>
      </c>
      <c r="G196" s="2" t="s">
        <v>703</v>
      </c>
      <c r="H196" s="2" t="s">
        <v>704</v>
      </c>
      <c r="I196" s="7" t="s">
        <v>705</v>
      </c>
      <c r="J196" s="2" t="e">
        <f>VLOOKUP(M196,[1]Directorate!$A:$B,2,FALSE)</f>
        <v>#N/A</v>
      </c>
      <c r="K196" s="6">
        <f>ROUND(1191656.16,2)</f>
        <v>1191656.1599999999</v>
      </c>
      <c r="L196" s="2">
        <v>200123</v>
      </c>
      <c r="M196" s="2" t="s">
        <v>322</v>
      </c>
    </row>
    <row r="197" spans="1:13" ht="15.75" x14ac:dyDescent="0.25">
      <c r="A197" s="2" t="s">
        <v>107</v>
      </c>
      <c r="B197" s="2" t="s">
        <v>106</v>
      </c>
      <c r="C197" s="2">
        <v>1</v>
      </c>
      <c r="D197" s="2">
        <v>12445</v>
      </c>
      <c r="E197" s="2" t="s">
        <v>108</v>
      </c>
      <c r="F197" s="2">
        <v>270000</v>
      </c>
      <c r="G197" s="2" t="s">
        <v>724</v>
      </c>
      <c r="H197" s="2" t="s">
        <v>725</v>
      </c>
      <c r="I197" s="5" t="s">
        <v>714</v>
      </c>
      <c r="J197" s="2" t="str">
        <f>VLOOKUP(M197,[1]Directorate!$A:$B,2,FALSE)</f>
        <v>Car Parks Admin</v>
      </c>
      <c r="K197" s="6">
        <f>ROUND(9972,2)</f>
        <v>9972</v>
      </c>
      <c r="L197" s="2">
        <v>402001</v>
      </c>
      <c r="M197" s="2">
        <v>10005</v>
      </c>
    </row>
    <row r="198" spans="1:13" ht="15.75" x14ac:dyDescent="0.25">
      <c r="A198" s="2" t="s">
        <v>107</v>
      </c>
      <c r="B198" s="2" t="s">
        <v>351</v>
      </c>
      <c r="C198" s="2">
        <v>1</v>
      </c>
      <c r="D198" s="2">
        <v>12313</v>
      </c>
      <c r="E198" s="2" t="s">
        <v>352</v>
      </c>
      <c r="F198" s="2">
        <v>999999</v>
      </c>
      <c r="G198" s="2" t="s">
        <v>715</v>
      </c>
      <c r="H198" s="2" t="s">
        <v>715</v>
      </c>
      <c r="I198" s="5" t="s">
        <v>705</v>
      </c>
      <c r="J198" s="2" t="str">
        <f>VLOOKUP(M198,[1]Directorate!$A:$B,2,FALSE)</f>
        <v>PH-Sexual Health</v>
      </c>
      <c r="K198" s="6">
        <f>ROUND(21532,2)</f>
        <v>21532</v>
      </c>
      <c r="L198" s="2">
        <v>401036</v>
      </c>
      <c r="M198" s="2">
        <v>12736</v>
      </c>
    </row>
    <row r="199" spans="1:13" ht="15.75" x14ac:dyDescent="0.25">
      <c r="A199" s="2" t="s">
        <v>107</v>
      </c>
      <c r="B199" s="2" t="s">
        <v>356</v>
      </c>
      <c r="C199" s="2">
        <v>1</v>
      </c>
      <c r="D199" s="2">
        <v>16348</v>
      </c>
      <c r="E199" s="2" t="s">
        <v>357</v>
      </c>
      <c r="F199" s="2">
        <v>191600</v>
      </c>
      <c r="G199" s="2" t="s">
        <v>738</v>
      </c>
      <c r="H199" s="2" t="s">
        <v>739</v>
      </c>
      <c r="I199" s="5" t="s">
        <v>714</v>
      </c>
      <c r="J199" s="2" t="str">
        <f>VLOOKUP(M199,[1]Directorate!$A:$B,2,FALSE)</f>
        <v>Stockport Borough Cr</v>
      </c>
      <c r="K199" s="6">
        <f>ROUND(9000,2)</f>
        <v>9000</v>
      </c>
      <c r="L199" s="2">
        <v>400800</v>
      </c>
      <c r="M199" s="2">
        <v>11289</v>
      </c>
    </row>
    <row r="200" spans="1:13" ht="15.75" x14ac:dyDescent="0.25">
      <c r="A200" s="2" t="s">
        <v>225</v>
      </c>
      <c r="B200" s="2" t="s">
        <v>224</v>
      </c>
      <c r="C200" s="2">
        <v>1</v>
      </c>
      <c r="D200" s="2">
        <v>13233</v>
      </c>
      <c r="E200" s="2" t="s">
        <v>226</v>
      </c>
      <c r="F200" s="2">
        <v>390000</v>
      </c>
      <c r="G200" s="2" t="s">
        <v>703</v>
      </c>
      <c r="H200" s="2" t="s">
        <v>704</v>
      </c>
      <c r="I200" s="5" t="s">
        <v>714</v>
      </c>
      <c r="J200" s="2" t="str">
        <f>VLOOKUP(M200,[1]Directorate!$A:$B,2,FALSE)</f>
        <v>Gritting</v>
      </c>
      <c r="K200" s="6">
        <f>ROUND(6560.86,2)</f>
        <v>6560.86</v>
      </c>
      <c r="L200" s="2">
        <v>200123</v>
      </c>
      <c r="M200" s="2">
        <v>12033</v>
      </c>
    </row>
    <row r="201" spans="1:13" ht="15.75" x14ac:dyDescent="0.25">
      <c r="A201" s="2" t="s">
        <v>225</v>
      </c>
      <c r="B201" s="2" t="s">
        <v>362</v>
      </c>
      <c r="C201" s="2">
        <v>1</v>
      </c>
      <c r="D201" s="2">
        <v>16321</v>
      </c>
      <c r="E201" s="2" t="s">
        <v>340</v>
      </c>
      <c r="F201" s="2">
        <v>150000</v>
      </c>
      <c r="G201" s="2" t="s">
        <v>716</v>
      </c>
      <c r="H201" s="2" t="s">
        <v>717</v>
      </c>
      <c r="I201" s="5" t="s">
        <v>705</v>
      </c>
      <c r="J201" s="2" t="str">
        <f>VLOOKUP(M201,[1]Directorate!$A:$B,2,FALSE)</f>
        <v>SEN Incl - Psycholog</v>
      </c>
      <c r="K201" s="6">
        <f>ROUND(5500,2)</f>
        <v>5500</v>
      </c>
      <c r="L201" s="2">
        <v>401007</v>
      </c>
      <c r="M201" s="2">
        <v>10751</v>
      </c>
    </row>
    <row r="202" spans="1:13" ht="15.75" x14ac:dyDescent="0.25">
      <c r="A202" s="2" t="s">
        <v>225</v>
      </c>
      <c r="B202" s="2" t="s">
        <v>365</v>
      </c>
      <c r="C202" s="2">
        <v>1</v>
      </c>
      <c r="D202" s="2">
        <v>421</v>
      </c>
      <c r="E202" s="2" t="s">
        <v>55</v>
      </c>
      <c r="F202" s="2">
        <v>260000</v>
      </c>
      <c r="G202" s="2" t="s">
        <v>720</v>
      </c>
      <c r="H202" s="2" t="s">
        <v>721</v>
      </c>
      <c r="I202" s="5" t="s">
        <v>705</v>
      </c>
      <c r="J202" s="2" t="str">
        <f>VLOOKUP(M202,[1]Directorate!$A:$B,2,FALSE)</f>
        <v>WD-Staff Dev-Grants</v>
      </c>
      <c r="K202" s="6">
        <f>ROUND(4400,2)</f>
        <v>4400</v>
      </c>
      <c r="L202" s="2">
        <v>102020</v>
      </c>
      <c r="M202" s="2">
        <v>12202</v>
      </c>
    </row>
    <row r="203" spans="1:13" ht="15.75" x14ac:dyDescent="0.25">
      <c r="A203" s="2" t="s">
        <v>225</v>
      </c>
      <c r="B203" s="2" t="s">
        <v>366</v>
      </c>
      <c r="C203" s="2">
        <v>1</v>
      </c>
      <c r="D203" s="2">
        <v>843</v>
      </c>
      <c r="E203" s="2" t="s">
        <v>367</v>
      </c>
      <c r="F203" s="2">
        <v>390000</v>
      </c>
      <c r="G203" s="2" t="s">
        <v>713</v>
      </c>
      <c r="H203" s="2" t="s">
        <v>713</v>
      </c>
      <c r="I203" s="7" t="s">
        <v>714</v>
      </c>
      <c r="J203" s="2" t="e">
        <f>VLOOKUP(M203,[1]Directorate!$A:$B,2,FALSE)</f>
        <v>#N/A</v>
      </c>
      <c r="K203" s="6">
        <f>ROUND(9325,2)</f>
        <v>9325</v>
      </c>
      <c r="L203" s="2">
        <v>401600</v>
      </c>
      <c r="M203" s="2" t="s">
        <v>368</v>
      </c>
    </row>
    <row r="204" spans="1:13" ht="15.75" x14ac:dyDescent="0.25">
      <c r="A204" s="2" t="s">
        <v>225</v>
      </c>
      <c r="B204" s="2" t="s">
        <v>374</v>
      </c>
      <c r="C204" s="2">
        <v>1</v>
      </c>
      <c r="D204" s="2">
        <v>843</v>
      </c>
      <c r="E204" s="2" t="s">
        <v>367</v>
      </c>
      <c r="F204" s="2">
        <v>390000</v>
      </c>
      <c r="G204" s="2" t="s">
        <v>713</v>
      </c>
      <c r="H204" s="2" t="s">
        <v>713</v>
      </c>
      <c r="I204" s="7" t="s">
        <v>714</v>
      </c>
      <c r="J204" s="2" t="e">
        <f>VLOOKUP(M204,[1]Directorate!$A:$B,2,FALSE)</f>
        <v>#N/A</v>
      </c>
      <c r="K204" s="6">
        <f>ROUND(16435,2)</f>
        <v>16435</v>
      </c>
      <c r="L204" s="2">
        <v>401600</v>
      </c>
      <c r="M204" s="2" t="s">
        <v>375</v>
      </c>
    </row>
    <row r="205" spans="1:13" ht="15.75" x14ac:dyDescent="0.25">
      <c r="A205" s="2" t="s">
        <v>225</v>
      </c>
      <c r="B205" s="2" t="s">
        <v>365</v>
      </c>
      <c r="C205" s="2">
        <v>2</v>
      </c>
      <c r="D205" s="2">
        <v>421</v>
      </c>
      <c r="E205" s="2" t="s">
        <v>55</v>
      </c>
      <c r="F205" s="2">
        <v>260000</v>
      </c>
      <c r="G205" s="2" t="s">
        <v>720</v>
      </c>
      <c r="H205" s="2" t="s">
        <v>721</v>
      </c>
      <c r="I205" s="5" t="s">
        <v>705</v>
      </c>
      <c r="J205" s="2" t="str">
        <f>VLOOKUP(M205,[1]Directorate!$A:$B,2,FALSE)</f>
        <v>WD-Staff Dev-Grants</v>
      </c>
      <c r="K205" s="6">
        <f>ROUND(4400,2)</f>
        <v>4400</v>
      </c>
      <c r="L205" s="2">
        <v>102020</v>
      </c>
      <c r="M205" s="2">
        <v>12202</v>
      </c>
    </row>
    <row r="206" spans="1:13" ht="15.75" x14ac:dyDescent="0.25">
      <c r="A206" s="2" t="s">
        <v>295</v>
      </c>
      <c r="B206" s="2" t="s">
        <v>334</v>
      </c>
      <c r="C206" s="2">
        <v>1</v>
      </c>
      <c r="D206" s="2">
        <v>14063</v>
      </c>
      <c r="E206" s="2" t="s">
        <v>105</v>
      </c>
      <c r="F206" s="2">
        <v>150000</v>
      </c>
      <c r="G206" s="2" t="s">
        <v>716</v>
      </c>
      <c r="H206" s="2" t="s">
        <v>717</v>
      </c>
      <c r="I206" s="5" t="s">
        <v>705</v>
      </c>
      <c r="J206" s="2" t="str">
        <f>VLOOKUP(M206,[1]Directorate!$A:$B,2,FALSE)</f>
        <v>W&amp;B Client spend</v>
      </c>
      <c r="K206" s="6">
        <f>ROUND(7000,2)</f>
        <v>7000</v>
      </c>
      <c r="L206" s="2">
        <v>401020</v>
      </c>
      <c r="M206" s="2">
        <v>13141</v>
      </c>
    </row>
    <row r="207" spans="1:13" ht="15.75" x14ac:dyDescent="0.25">
      <c r="A207" s="2" t="s">
        <v>295</v>
      </c>
      <c r="B207" s="2" t="s">
        <v>360</v>
      </c>
      <c r="C207" s="2">
        <v>1</v>
      </c>
      <c r="D207" s="2">
        <v>3055</v>
      </c>
      <c r="E207" s="2" t="s">
        <v>223</v>
      </c>
      <c r="F207" s="2">
        <v>390000</v>
      </c>
      <c r="G207" s="2" t="s">
        <v>703</v>
      </c>
      <c r="H207" s="2" t="s">
        <v>704</v>
      </c>
      <c r="I207" s="7" t="s">
        <v>714</v>
      </c>
      <c r="J207" s="2" t="e">
        <f>VLOOKUP(M207,[1]Directorate!$A:$B,2,FALSE)</f>
        <v>#N/A</v>
      </c>
      <c r="K207" s="6">
        <f>ROUND(16906.6,2)</f>
        <v>16906.599999999999</v>
      </c>
      <c r="L207" s="2">
        <v>200123</v>
      </c>
      <c r="M207" s="2" t="s">
        <v>361</v>
      </c>
    </row>
    <row r="208" spans="1:13" ht="15.75" x14ac:dyDescent="0.25">
      <c r="A208" s="2" t="s">
        <v>295</v>
      </c>
      <c r="B208" s="2" t="s">
        <v>370</v>
      </c>
      <c r="C208" s="2">
        <v>1</v>
      </c>
      <c r="D208" s="2">
        <v>5214</v>
      </c>
      <c r="E208" s="2" t="s">
        <v>262</v>
      </c>
      <c r="F208" s="2">
        <v>150000</v>
      </c>
      <c r="G208" s="2" t="s">
        <v>716</v>
      </c>
      <c r="H208" s="2" t="s">
        <v>717</v>
      </c>
      <c r="I208" s="5" t="s">
        <v>714</v>
      </c>
      <c r="J208" s="2" t="str">
        <f>VLOOKUP(M208,[1]Directorate!$A:$B,2,FALSE)</f>
        <v>MS Design Frnwk Staf</v>
      </c>
      <c r="K208" s="6">
        <f>ROUND(49974.3,2)</f>
        <v>49974.3</v>
      </c>
      <c r="L208" s="2">
        <v>401020</v>
      </c>
      <c r="M208" s="2">
        <v>13107</v>
      </c>
    </row>
    <row r="209" spans="1:13" ht="15.75" x14ac:dyDescent="0.25">
      <c r="A209" s="2" t="s">
        <v>295</v>
      </c>
      <c r="B209" s="2" t="s">
        <v>371</v>
      </c>
      <c r="C209" s="2">
        <v>1</v>
      </c>
      <c r="D209" s="2">
        <v>757</v>
      </c>
      <c r="E209" s="2" t="s">
        <v>67</v>
      </c>
      <c r="F209" s="2">
        <v>170000</v>
      </c>
      <c r="G209" s="2" t="s">
        <v>754</v>
      </c>
      <c r="H209" s="2" t="s">
        <v>755</v>
      </c>
      <c r="I209" s="5" t="s">
        <v>705</v>
      </c>
      <c r="J209" s="2" t="str">
        <f>VLOOKUP(M209,[1]Directorate!$A:$B,2,FALSE)</f>
        <v>SS-FreeSclTrans-Pri</v>
      </c>
      <c r="K209" s="6">
        <f>ROUND(8326.5,2)</f>
        <v>8326.5</v>
      </c>
      <c r="L209" s="2">
        <v>530102</v>
      </c>
      <c r="M209" s="2">
        <v>10429</v>
      </c>
    </row>
    <row r="210" spans="1:13" ht="15.75" x14ac:dyDescent="0.25">
      <c r="A210" s="2" t="s">
        <v>295</v>
      </c>
      <c r="B210" s="2" t="s">
        <v>371</v>
      </c>
      <c r="C210" s="2">
        <v>1</v>
      </c>
      <c r="D210" s="2">
        <v>757</v>
      </c>
      <c r="E210" s="2" t="s">
        <v>67</v>
      </c>
      <c r="F210" s="2">
        <v>170000</v>
      </c>
      <c r="G210" s="2" t="s">
        <v>754</v>
      </c>
      <c r="H210" s="2" t="s">
        <v>755</v>
      </c>
      <c r="I210" s="5" t="s">
        <v>705</v>
      </c>
      <c r="J210" s="2" t="str">
        <f>VLOOKUP(M210,[1]Directorate!$A:$B,2,FALSE)</f>
        <v>SS-FreeSclTrans-Sec</v>
      </c>
      <c r="K210" s="6">
        <f>ROUND(131722.5,2)</f>
        <v>131722.5</v>
      </c>
      <c r="L210" s="2">
        <v>530102</v>
      </c>
      <c r="M210" s="2">
        <v>10430</v>
      </c>
    </row>
    <row r="211" spans="1:13" ht="15.75" x14ac:dyDescent="0.25">
      <c r="A211" s="2" t="s">
        <v>295</v>
      </c>
      <c r="B211" s="2" t="s">
        <v>372</v>
      </c>
      <c r="C211" s="2">
        <v>1</v>
      </c>
      <c r="D211" s="2">
        <v>7820</v>
      </c>
      <c r="E211" s="2" t="s">
        <v>264</v>
      </c>
      <c r="F211" s="2">
        <v>230000</v>
      </c>
      <c r="G211" s="2" t="s">
        <v>756</v>
      </c>
      <c r="H211" s="2" t="s">
        <v>757</v>
      </c>
      <c r="I211" s="7" t="s">
        <v>714</v>
      </c>
      <c r="J211" s="2" t="e">
        <f>VLOOKUP(M211,[1]Directorate!$A:$B,2,FALSE)</f>
        <v>#N/A</v>
      </c>
      <c r="K211" s="6">
        <f>ROUND(5950,2)</f>
        <v>5950</v>
      </c>
      <c r="L211" s="2">
        <v>202054</v>
      </c>
      <c r="M211" s="2" t="s">
        <v>373</v>
      </c>
    </row>
    <row r="212" spans="1:13" ht="15.75" x14ac:dyDescent="0.25">
      <c r="A212" s="2" t="s">
        <v>295</v>
      </c>
      <c r="B212" s="2" t="s">
        <v>377</v>
      </c>
      <c r="C212" s="2">
        <v>1</v>
      </c>
      <c r="D212" s="2">
        <v>15428</v>
      </c>
      <c r="E212" s="2" t="s">
        <v>378</v>
      </c>
      <c r="F212" s="2">
        <v>390000</v>
      </c>
      <c r="G212" s="2" t="s">
        <v>703</v>
      </c>
      <c r="H212" s="2" t="s">
        <v>704</v>
      </c>
      <c r="I212" s="7" t="s">
        <v>702</v>
      </c>
      <c r="J212" s="2" t="e">
        <f>VLOOKUP(M212,[1]Directorate!$A:$B,2,FALSE)</f>
        <v>#N/A</v>
      </c>
      <c r="K212" s="6">
        <f>ROUND(373950.8,2)</f>
        <v>373950.8</v>
      </c>
      <c r="L212" s="2">
        <v>200123</v>
      </c>
      <c r="M212" s="2" t="s">
        <v>46</v>
      </c>
    </row>
    <row r="213" spans="1:13" ht="15.75" x14ac:dyDescent="0.25">
      <c r="A213" s="2" t="s">
        <v>295</v>
      </c>
      <c r="B213" s="2" t="s">
        <v>384</v>
      </c>
      <c r="C213" s="2">
        <v>1</v>
      </c>
      <c r="D213" s="2">
        <v>15251</v>
      </c>
      <c r="E213" s="2" t="s">
        <v>118</v>
      </c>
      <c r="F213" s="2">
        <v>240000</v>
      </c>
      <c r="G213" s="2" t="s">
        <v>711</v>
      </c>
      <c r="H213" s="2" t="s">
        <v>712</v>
      </c>
      <c r="I213" s="7" t="s">
        <v>714</v>
      </c>
      <c r="J213" s="2" t="e">
        <f>VLOOKUP(M213,[1]Directorate!$A:$B,2,FALSE)</f>
        <v>#N/A</v>
      </c>
      <c r="K213" s="6">
        <f>ROUND(35269.25,2)</f>
        <v>35269.25</v>
      </c>
      <c r="L213" s="2">
        <v>202032</v>
      </c>
      <c r="M213" s="2" t="s">
        <v>82</v>
      </c>
    </row>
    <row r="214" spans="1:13" ht="15.75" x14ac:dyDescent="0.25">
      <c r="A214" s="2" t="s">
        <v>295</v>
      </c>
      <c r="B214" s="2" t="s">
        <v>360</v>
      </c>
      <c r="C214" s="2">
        <v>2</v>
      </c>
      <c r="D214" s="2">
        <v>3055</v>
      </c>
      <c r="E214" s="2" t="s">
        <v>223</v>
      </c>
      <c r="F214" s="2">
        <v>390000</v>
      </c>
      <c r="G214" s="2" t="s">
        <v>703</v>
      </c>
      <c r="H214" s="2" t="s">
        <v>704</v>
      </c>
      <c r="I214" s="7" t="s">
        <v>714</v>
      </c>
      <c r="J214" s="2" t="e">
        <f>VLOOKUP(M214,[1]Directorate!$A:$B,2,FALSE)</f>
        <v>#N/A</v>
      </c>
      <c r="K214" s="6">
        <f>ROUND(16906.6,2)</f>
        <v>16906.599999999999</v>
      </c>
      <c r="L214" s="2">
        <v>200123</v>
      </c>
      <c r="M214" s="2" t="s">
        <v>361</v>
      </c>
    </row>
    <row r="215" spans="1:13" ht="15.75" x14ac:dyDescent="0.25">
      <c r="A215" s="2" t="s">
        <v>295</v>
      </c>
      <c r="B215" s="2" t="s">
        <v>360</v>
      </c>
      <c r="C215" s="2">
        <v>3</v>
      </c>
      <c r="D215" s="2">
        <v>3055</v>
      </c>
      <c r="E215" s="2" t="s">
        <v>223</v>
      </c>
      <c r="F215" s="2">
        <v>390000</v>
      </c>
      <c r="G215" s="2" t="s">
        <v>703</v>
      </c>
      <c r="H215" s="2" t="s">
        <v>704</v>
      </c>
      <c r="I215" s="7" t="s">
        <v>714</v>
      </c>
      <c r="J215" s="2" t="e">
        <f>VLOOKUP(M215,[1]Directorate!$A:$B,2,FALSE)</f>
        <v>#N/A</v>
      </c>
      <c r="K215" s="6">
        <f>ROUND(24218.88,2)</f>
        <v>24218.880000000001</v>
      </c>
      <c r="L215" s="2">
        <v>200123</v>
      </c>
      <c r="M215" s="2" t="s">
        <v>361</v>
      </c>
    </row>
    <row r="216" spans="1:13" ht="15.75" x14ac:dyDescent="0.25">
      <c r="A216" s="2" t="s">
        <v>295</v>
      </c>
      <c r="B216" s="2" t="s">
        <v>360</v>
      </c>
      <c r="C216" s="2">
        <v>4</v>
      </c>
      <c r="D216" s="2">
        <v>3055</v>
      </c>
      <c r="E216" s="2" t="s">
        <v>223</v>
      </c>
      <c r="F216" s="2">
        <v>390000</v>
      </c>
      <c r="G216" s="2" t="s">
        <v>703</v>
      </c>
      <c r="H216" s="2" t="s">
        <v>704</v>
      </c>
      <c r="I216" s="7" t="s">
        <v>714</v>
      </c>
      <c r="J216" s="2" t="e">
        <f>VLOOKUP(M216,[1]Directorate!$A:$B,2,FALSE)</f>
        <v>#N/A</v>
      </c>
      <c r="K216" s="6">
        <f>ROUND(24218.88,2)</f>
        <v>24218.880000000001</v>
      </c>
      <c r="L216" s="2">
        <v>200123</v>
      </c>
      <c r="M216" s="2" t="s">
        <v>361</v>
      </c>
    </row>
    <row r="217" spans="1:13" ht="15.75" x14ac:dyDescent="0.25">
      <c r="A217" s="2" t="s">
        <v>288</v>
      </c>
      <c r="B217" s="2" t="s">
        <v>382</v>
      </c>
      <c r="C217" s="2">
        <v>1</v>
      </c>
      <c r="D217" s="2">
        <v>8106</v>
      </c>
      <c r="E217" s="2" t="s">
        <v>383</v>
      </c>
      <c r="F217" s="2">
        <v>390000</v>
      </c>
      <c r="G217" s="2" t="s">
        <v>713</v>
      </c>
      <c r="H217" s="2" t="s">
        <v>713</v>
      </c>
      <c r="I217" s="7" t="s">
        <v>714</v>
      </c>
      <c r="J217" s="2" t="e">
        <f>VLOOKUP(M217,[1]Directorate!$A:$B,2,FALSE)</f>
        <v>#N/A</v>
      </c>
      <c r="K217" s="6">
        <f>ROUND(58523.04,2)</f>
        <v>58523.040000000001</v>
      </c>
      <c r="L217" s="2">
        <v>401600</v>
      </c>
      <c r="M217" s="2" t="s">
        <v>282</v>
      </c>
    </row>
    <row r="218" spans="1:13" ht="15.75" x14ac:dyDescent="0.25">
      <c r="A218" s="2" t="s">
        <v>293</v>
      </c>
      <c r="B218" s="2" t="s">
        <v>292</v>
      </c>
      <c r="C218" s="2">
        <v>1</v>
      </c>
      <c r="D218" s="2">
        <v>14669</v>
      </c>
      <c r="E218" s="2" t="s">
        <v>129</v>
      </c>
      <c r="F218" s="2">
        <v>390000</v>
      </c>
      <c r="G218" s="2" t="s">
        <v>703</v>
      </c>
      <c r="H218" s="2" t="s">
        <v>726</v>
      </c>
      <c r="I218" s="7" t="s">
        <v>714</v>
      </c>
      <c r="J218" s="2" t="e">
        <f>VLOOKUP(M218,[1]Directorate!$A:$B,2,FALSE)</f>
        <v>#N/A</v>
      </c>
      <c r="K218" s="6">
        <f>ROUND(13000,2)</f>
        <v>13000</v>
      </c>
      <c r="L218" s="2">
        <v>200304</v>
      </c>
      <c r="M218" s="2" t="s">
        <v>294</v>
      </c>
    </row>
    <row r="219" spans="1:13" ht="15.75" x14ac:dyDescent="0.25">
      <c r="A219" s="2" t="s">
        <v>293</v>
      </c>
      <c r="B219" s="2" t="s">
        <v>387</v>
      </c>
      <c r="C219" s="2">
        <v>1</v>
      </c>
      <c r="D219" s="2">
        <v>14063</v>
      </c>
      <c r="E219" s="2" t="s">
        <v>105</v>
      </c>
      <c r="F219" s="2">
        <v>150000</v>
      </c>
      <c r="G219" s="2" t="s">
        <v>716</v>
      </c>
      <c r="H219" s="2" t="s">
        <v>717</v>
      </c>
      <c r="I219" s="5" t="s">
        <v>705</v>
      </c>
      <c r="J219" s="2" t="str">
        <f>VLOOKUP(M219,[1]Directorate!$A:$B,2,FALSE)</f>
        <v>W&amp;B Client spend</v>
      </c>
      <c r="K219" s="6">
        <f>ROUND(5000,2)</f>
        <v>5000</v>
      </c>
      <c r="L219" s="2">
        <v>401020</v>
      </c>
      <c r="M219" s="2">
        <v>13141</v>
      </c>
    </row>
    <row r="220" spans="1:13" ht="15.75" x14ac:dyDescent="0.25">
      <c r="A220" s="2" t="s">
        <v>293</v>
      </c>
      <c r="B220" s="2" t="s">
        <v>388</v>
      </c>
      <c r="C220" s="2">
        <v>1</v>
      </c>
      <c r="D220" s="2">
        <v>14063</v>
      </c>
      <c r="E220" s="2" t="s">
        <v>105</v>
      </c>
      <c r="F220" s="2">
        <v>150000</v>
      </c>
      <c r="G220" s="2" t="s">
        <v>716</v>
      </c>
      <c r="H220" s="2" t="s">
        <v>717</v>
      </c>
      <c r="I220" s="5" t="s">
        <v>705</v>
      </c>
      <c r="J220" s="2" t="str">
        <f>VLOOKUP(M220,[1]Directorate!$A:$B,2,FALSE)</f>
        <v>W&amp;B Client spend</v>
      </c>
      <c r="K220" s="6">
        <f>ROUND(5000,2)</f>
        <v>5000</v>
      </c>
      <c r="L220" s="2">
        <v>401020</v>
      </c>
      <c r="M220" s="2">
        <v>13141</v>
      </c>
    </row>
    <row r="221" spans="1:13" ht="15.75" x14ac:dyDescent="0.25">
      <c r="A221" s="2" t="s">
        <v>293</v>
      </c>
      <c r="B221" s="2" t="s">
        <v>292</v>
      </c>
      <c r="C221" s="2">
        <v>2</v>
      </c>
      <c r="D221" s="2">
        <v>14669</v>
      </c>
      <c r="E221" s="2" t="s">
        <v>129</v>
      </c>
      <c r="F221" s="2">
        <v>230000</v>
      </c>
      <c r="G221" s="2" t="s">
        <v>756</v>
      </c>
      <c r="H221" s="2" t="s">
        <v>757</v>
      </c>
      <c r="I221" s="5" t="s">
        <v>714</v>
      </c>
      <c r="J221" s="2" t="str">
        <f>VLOOKUP(M221,[1]Directorate!$A:$B,2,FALSE)</f>
        <v>Drainage Works</v>
      </c>
      <c r="K221" s="6">
        <f>ROUND(10313,2)</f>
        <v>10313</v>
      </c>
      <c r="L221" s="2">
        <v>202052</v>
      </c>
      <c r="M221" s="2">
        <v>12681</v>
      </c>
    </row>
    <row r="222" spans="1:13" ht="15.75" x14ac:dyDescent="0.25">
      <c r="A222" s="2" t="s">
        <v>272</v>
      </c>
      <c r="B222" s="2" t="s">
        <v>328</v>
      </c>
      <c r="C222" s="2">
        <v>1</v>
      </c>
      <c r="D222" s="2">
        <v>1243</v>
      </c>
      <c r="E222" s="2" t="s">
        <v>329</v>
      </c>
      <c r="F222" s="2">
        <v>320000</v>
      </c>
      <c r="G222" s="2" t="s">
        <v>741</v>
      </c>
      <c r="H222" s="2" t="s">
        <v>742</v>
      </c>
      <c r="I222" s="5" t="s">
        <v>705</v>
      </c>
      <c r="J222" s="2" t="str">
        <f>VLOOKUP(M222,[1]Directorate!$A:$B,2,FALSE)</f>
        <v>Top-up Fund Post 16</v>
      </c>
      <c r="K222" s="6">
        <f>ROUND(331015.31,2)</f>
        <v>331015.31</v>
      </c>
      <c r="L222" s="2">
        <v>402403</v>
      </c>
      <c r="M222" s="2">
        <v>12724</v>
      </c>
    </row>
    <row r="223" spans="1:13" ht="15.75" x14ac:dyDescent="0.25">
      <c r="A223" s="2" t="s">
        <v>272</v>
      </c>
      <c r="B223" s="2" t="s">
        <v>358</v>
      </c>
      <c r="C223" s="2">
        <v>1</v>
      </c>
      <c r="D223" s="2">
        <v>11014</v>
      </c>
      <c r="E223" s="2" t="s">
        <v>359</v>
      </c>
      <c r="F223" s="2">
        <v>270000</v>
      </c>
      <c r="G223" s="2" t="s">
        <v>724</v>
      </c>
      <c r="H223" s="2" t="s">
        <v>725</v>
      </c>
      <c r="I223" s="5" t="s">
        <v>714</v>
      </c>
      <c r="J223" s="2" t="str">
        <f>VLOOKUP(M223,[1]Directorate!$A:$B,2,FALSE)</f>
        <v>Car Parks Admin</v>
      </c>
      <c r="K223" s="6">
        <f>ROUND(25254,2)</f>
        <v>25254</v>
      </c>
      <c r="L223" s="2">
        <v>402001</v>
      </c>
      <c r="M223" s="2">
        <v>10005</v>
      </c>
    </row>
    <row r="224" spans="1:13" ht="15.75" x14ac:dyDescent="0.25">
      <c r="A224" s="2" t="s">
        <v>272</v>
      </c>
      <c r="B224" s="2" t="s">
        <v>369</v>
      </c>
      <c r="C224" s="2">
        <v>1</v>
      </c>
      <c r="D224" s="2">
        <v>5214</v>
      </c>
      <c r="E224" s="2" t="s">
        <v>262</v>
      </c>
      <c r="F224" s="2">
        <v>150000</v>
      </c>
      <c r="G224" s="2" t="s">
        <v>716</v>
      </c>
      <c r="H224" s="2" t="s">
        <v>717</v>
      </c>
      <c r="I224" s="5" t="s">
        <v>714</v>
      </c>
      <c r="J224" s="2" t="str">
        <f>VLOOKUP(M224,[1]Directorate!$A:$B,2,FALSE)</f>
        <v>MS Design Frnwk Staf</v>
      </c>
      <c r="K224" s="6">
        <f>ROUND(49990.5,2)</f>
        <v>49990.5</v>
      </c>
      <c r="L224" s="2">
        <v>401020</v>
      </c>
      <c r="M224" s="2">
        <v>13107</v>
      </c>
    </row>
    <row r="225" spans="1:13" ht="15.75" x14ac:dyDescent="0.25">
      <c r="A225" s="2" t="s">
        <v>272</v>
      </c>
      <c r="B225" s="2" t="s">
        <v>380</v>
      </c>
      <c r="C225" s="2">
        <v>1</v>
      </c>
      <c r="D225" s="2">
        <v>16351</v>
      </c>
      <c r="E225" s="2" t="s">
        <v>381</v>
      </c>
      <c r="F225" s="2">
        <v>150000</v>
      </c>
      <c r="G225" s="2" t="s">
        <v>716</v>
      </c>
      <c r="H225" s="2" t="s">
        <v>717</v>
      </c>
      <c r="I225" s="5" t="s">
        <v>714</v>
      </c>
      <c r="J225" s="2" t="str">
        <f>VLOOKUP(M225,[1]Directorate!$A:$B,2,FALSE)</f>
        <v>Berevement Services</v>
      </c>
      <c r="K225" s="6">
        <f>ROUND(13070,2)</f>
        <v>13070</v>
      </c>
      <c r="L225" s="2">
        <v>401020</v>
      </c>
      <c r="M225" s="2">
        <v>11285</v>
      </c>
    </row>
    <row r="226" spans="1:13" ht="15.75" x14ac:dyDescent="0.25">
      <c r="A226" s="2" t="s">
        <v>272</v>
      </c>
      <c r="B226" s="2" t="s">
        <v>386</v>
      </c>
      <c r="C226" s="2">
        <v>1</v>
      </c>
      <c r="D226" s="2">
        <v>35</v>
      </c>
      <c r="E226" s="2" t="s">
        <v>22</v>
      </c>
      <c r="F226" s="2">
        <v>270000</v>
      </c>
      <c r="G226" s="2" t="s">
        <v>724</v>
      </c>
      <c r="H226" s="2" t="s">
        <v>725</v>
      </c>
      <c r="I226" s="5" t="s">
        <v>714</v>
      </c>
      <c r="J226" s="2" t="str">
        <f>VLOOKUP(M226,[1]Directorate!$A:$B,2,FALSE)</f>
        <v>Feasibility</v>
      </c>
      <c r="K226" s="6">
        <f>ROUND(6216,2)</f>
        <v>6216</v>
      </c>
      <c r="L226" s="2">
        <v>402001</v>
      </c>
      <c r="M226" s="2">
        <v>13062</v>
      </c>
    </row>
    <row r="227" spans="1:13" ht="15.75" x14ac:dyDescent="0.25">
      <c r="A227" s="2" t="s">
        <v>272</v>
      </c>
      <c r="B227" s="2" t="s">
        <v>391</v>
      </c>
      <c r="C227" s="2">
        <v>1</v>
      </c>
      <c r="D227" s="2">
        <v>9220</v>
      </c>
      <c r="E227" s="2" t="s">
        <v>392</v>
      </c>
      <c r="F227" s="2">
        <v>270000</v>
      </c>
      <c r="G227" s="2" t="s">
        <v>724</v>
      </c>
      <c r="H227" s="2" t="s">
        <v>725</v>
      </c>
      <c r="I227" s="5" t="s">
        <v>705</v>
      </c>
      <c r="J227" s="2" t="str">
        <f>VLOOKUP(M227,[1]Directorate!$A:$B,2,FALSE)</f>
        <v>SI - School Govern</v>
      </c>
      <c r="K227" s="6">
        <f>ROUND(19000,2)</f>
        <v>19000</v>
      </c>
      <c r="L227" s="2">
        <v>402001</v>
      </c>
      <c r="M227" s="2">
        <v>10755</v>
      </c>
    </row>
    <row r="228" spans="1:13" ht="15.75" x14ac:dyDescent="0.25">
      <c r="A228" s="2" t="s">
        <v>272</v>
      </c>
      <c r="B228" s="2" t="s">
        <v>393</v>
      </c>
      <c r="C228" s="2">
        <v>1</v>
      </c>
      <c r="D228" s="2">
        <v>10007</v>
      </c>
      <c r="E228" s="2" t="s">
        <v>394</v>
      </c>
      <c r="F228" s="2">
        <v>201100</v>
      </c>
      <c r="G228" s="2" t="s">
        <v>758</v>
      </c>
      <c r="H228" s="2" t="s">
        <v>717</v>
      </c>
      <c r="I228" s="5" t="s">
        <v>702</v>
      </c>
      <c r="J228" s="2" t="str">
        <f>VLOOKUP(M228,[1]Directorate!$A:$B,2,FALSE)</f>
        <v>U-Misc Fin-Corp Mang</v>
      </c>
      <c r="K228" s="6">
        <f>ROUND(32670,2)</f>
        <v>32670</v>
      </c>
      <c r="L228" s="2">
        <v>401003</v>
      </c>
      <c r="M228" s="2">
        <v>10971</v>
      </c>
    </row>
    <row r="229" spans="1:13" ht="15.75" x14ac:dyDescent="0.25">
      <c r="A229" s="2" t="s">
        <v>272</v>
      </c>
      <c r="B229" s="2" t="s">
        <v>395</v>
      </c>
      <c r="C229" s="2">
        <v>1</v>
      </c>
      <c r="D229" s="2">
        <v>8832</v>
      </c>
      <c r="E229" s="2" t="s">
        <v>222</v>
      </c>
      <c r="F229" s="2">
        <v>390000</v>
      </c>
      <c r="G229" s="2" t="s">
        <v>703</v>
      </c>
      <c r="H229" s="2" t="s">
        <v>704</v>
      </c>
      <c r="I229" s="7" t="s">
        <v>705</v>
      </c>
      <c r="J229" s="2" t="e">
        <f>VLOOKUP(M229,[1]Directorate!$A:$B,2,FALSE)</f>
        <v>#N/A</v>
      </c>
      <c r="K229" s="6">
        <f>ROUND(18144,2)</f>
        <v>18144</v>
      </c>
      <c r="L229" s="2">
        <v>200160</v>
      </c>
      <c r="M229" s="2" t="s">
        <v>74</v>
      </c>
    </row>
    <row r="230" spans="1:13" ht="15.75" x14ac:dyDescent="0.25">
      <c r="A230" s="2" t="s">
        <v>272</v>
      </c>
      <c r="B230" s="2" t="s">
        <v>396</v>
      </c>
      <c r="C230" s="2">
        <v>1</v>
      </c>
      <c r="D230" s="2">
        <v>6803</v>
      </c>
      <c r="E230" s="2" t="s">
        <v>283</v>
      </c>
      <c r="F230" s="2">
        <v>270000</v>
      </c>
      <c r="G230" s="2" t="s">
        <v>724</v>
      </c>
      <c r="H230" s="2" t="s">
        <v>725</v>
      </c>
      <c r="I230" s="7" t="s">
        <v>714</v>
      </c>
      <c r="J230" s="2" t="e">
        <f>VLOOKUP(M230,[1]Directorate!$A:$B,2,FALSE)</f>
        <v>#N/A</v>
      </c>
      <c r="K230" s="6">
        <f>ROUND(7785,2)</f>
        <v>7785</v>
      </c>
      <c r="L230" s="2">
        <v>402001</v>
      </c>
      <c r="M230" s="2" t="s">
        <v>148</v>
      </c>
    </row>
    <row r="231" spans="1:13" ht="15.75" x14ac:dyDescent="0.25">
      <c r="A231" s="2" t="s">
        <v>272</v>
      </c>
      <c r="B231" s="2" t="s">
        <v>397</v>
      </c>
      <c r="C231" s="2">
        <v>1</v>
      </c>
      <c r="D231" s="2">
        <v>6967</v>
      </c>
      <c r="E231" s="2" t="s">
        <v>53</v>
      </c>
      <c r="F231" s="2">
        <v>150000</v>
      </c>
      <c r="G231" s="2" t="s">
        <v>716</v>
      </c>
      <c r="H231" s="2" t="s">
        <v>717</v>
      </c>
      <c r="I231" s="5" t="s">
        <v>714</v>
      </c>
      <c r="J231" s="2" t="str">
        <f>VLOOKUP(M231,[1]Directorate!$A:$B,2,FALSE)</f>
        <v>Design Frmwk Staff</v>
      </c>
      <c r="K231" s="6">
        <f>ROUND(49990.2,2)</f>
        <v>49990.2</v>
      </c>
      <c r="L231" s="2">
        <v>401020</v>
      </c>
      <c r="M231" s="2">
        <v>11965</v>
      </c>
    </row>
    <row r="232" spans="1:13" ht="15.75" x14ac:dyDescent="0.25">
      <c r="A232" s="2" t="s">
        <v>272</v>
      </c>
      <c r="B232" s="2" t="s">
        <v>398</v>
      </c>
      <c r="C232" s="2">
        <v>1</v>
      </c>
      <c r="D232" s="2">
        <v>1222</v>
      </c>
      <c r="E232" s="2" t="s">
        <v>241</v>
      </c>
      <c r="F232" s="2">
        <v>240000</v>
      </c>
      <c r="G232" s="2" t="s">
        <v>711</v>
      </c>
      <c r="H232" s="2" t="s">
        <v>712</v>
      </c>
      <c r="I232" s="7" t="s">
        <v>714</v>
      </c>
      <c r="J232" s="2" t="e">
        <f>VLOOKUP(M232,[1]Directorate!$A:$B,2,FALSE)</f>
        <v>#N/A</v>
      </c>
      <c r="K232" s="6">
        <f>ROUND(60649.04,2)</f>
        <v>60649.04</v>
      </c>
      <c r="L232" s="2">
        <v>202032</v>
      </c>
      <c r="M232" s="2" t="s">
        <v>82</v>
      </c>
    </row>
    <row r="233" spans="1:13" ht="15.75" x14ac:dyDescent="0.25">
      <c r="A233" s="2" t="s">
        <v>272</v>
      </c>
      <c r="B233" s="2" t="s">
        <v>402</v>
      </c>
      <c r="C233" s="2">
        <v>1</v>
      </c>
      <c r="D233" s="2">
        <v>13860</v>
      </c>
      <c r="E233" s="2" t="s">
        <v>211</v>
      </c>
      <c r="F233" s="2">
        <v>150000</v>
      </c>
      <c r="G233" s="2" t="s">
        <v>716</v>
      </c>
      <c r="H233" s="2" t="s">
        <v>717</v>
      </c>
      <c r="I233" s="5" t="s">
        <v>714</v>
      </c>
      <c r="J233" s="2" t="str">
        <f>VLOOKUP(M233,[1]Directorate!$A:$B,2,FALSE)</f>
        <v>Property Client Acct</v>
      </c>
      <c r="K233" s="6">
        <f>ROUND(7245,2)</f>
        <v>7245</v>
      </c>
      <c r="L233" s="2">
        <v>401020</v>
      </c>
      <c r="M233" s="2">
        <v>11137</v>
      </c>
    </row>
    <row r="234" spans="1:13" ht="15.75" x14ac:dyDescent="0.25">
      <c r="A234" s="2" t="s">
        <v>272</v>
      </c>
      <c r="B234" s="2" t="s">
        <v>403</v>
      </c>
      <c r="C234" s="2">
        <v>1</v>
      </c>
      <c r="D234" s="2">
        <v>7820</v>
      </c>
      <c r="E234" s="2" t="s">
        <v>264</v>
      </c>
      <c r="F234" s="2">
        <v>999999</v>
      </c>
      <c r="G234" s="2" t="s">
        <v>715</v>
      </c>
      <c r="H234" s="2" t="s">
        <v>715</v>
      </c>
      <c r="I234" s="5" t="s">
        <v>705</v>
      </c>
      <c r="J234" s="2" t="str">
        <f>VLOOKUP(M234,[1]Directorate!$A:$B,2,FALSE)</f>
        <v>DASCE</v>
      </c>
      <c r="K234" s="6">
        <f>ROUND(10000,2)</f>
        <v>10000</v>
      </c>
      <c r="L234" s="2">
        <v>402404</v>
      </c>
      <c r="M234" s="2">
        <v>11450</v>
      </c>
    </row>
    <row r="235" spans="1:13" ht="15.75" x14ac:dyDescent="0.25">
      <c r="A235" s="2" t="s">
        <v>272</v>
      </c>
      <c r="B235" s="2" t="s">
        <v>386</v>
      </c>
      <c r="C235" s="2">
        <v>2</v>
      </c>
      <c r="D235" s="2">
        <v>35</v>
      </c>
      <c r="E235" s="2" t="s">
        <v>22</v>
      </c>
      <c r="F235" s="2">
        <v>270000</v>
      </c>
      <c r="G235" s="2" t="s">
        <v>724</v>
      </c>
      <c r="H235" s="2" t="s">
        <v>725</v>
      </c>
      <c r="I235" s="5" t="s">
        <v>714</v>
      </c>
      <c r="J235" s="2" t="str">
        <f>VLOOKUP(M235,[1]Directorate!$A:$B,2,FALSE)</f>
        <v>Feasibility</v>
      </c>
      <c r="K235" s="6">
        <f>ROUND(3504,2)</f>
        <v>3504</v>
      </c>
      <c r="L235" s="2">
        <v>402001</v>
      </c>
      <c r="M235" s="2">
        <v>13062</v>
      </c>
    </row>
    <row r="236" spans="1:13" ht="15.75" x14ac:dyDescent="0.25">
      <c r="A236" s="2" t="s">
        <v>272</v>
      </c>
      <c r="B236" s="2" t="s">
        <v>396</v>
      </c>
      <c r="C236" s="2">
        <v>2</v>
      </c>
      <c r="D236" s="2">
        <v>6803</v>
      </c>
      <c r="E236" s="2" t="s">
        <v>283</v>
      </c>
      <c r="F236" s="2">
        <v>270000</v>
      </c>
      <c r="G236" s="2" t="s">
        <v>724</v>
      </c>
      <c r="H236" s="2" t="s">
        <v>725</v>
      </c>
      <c r="I236" s="7" t="s">
        <v>714</v>
      </c>
      <c r="J236" s="2" t="e">
        <f>VLOOKUP(M236,[1]Directorate!$A:$B,2,FALSE)</f>
        <v>#N/A</v>
      </c>
      <c r="K236" s="6">
        <f>ROUND(11095,2)</f>
        <v>11095</v>
      </c>
      <c r="L236" s="2">
        <v>402001</v>
      </c>
      <c r="M236" s="2" t="s">
        <v>148</v>
      </c>
    </row>
    <row r="237" spans="1:13" ht="15.75" x14ac:dyDescent="0.25">
      <c r="A237" s="2" t="s">
        <v>272</v>
      </c>
      <c r="B237" s="2" t="s">
        <v>403</v>
      </c>
      <c r="C237" s="2">
        <v>2</v>
      </c>
      <c r="D237" s="2">
        <v>7820</v>
      </c>
      <c r="E237" s="2" t="s">
        <v>264</v>
      </c>
      <c r="F237" s="2">
        <v>999999</v>
      </c>
      <c r="G237" s="2" t="s">
        <v>715</v>
      </c>
      <c r="H237" s="2" t="s">
        <v>715</v>
      </c>
      <c r="I237" s="5" t="s">
        <v>705</v>
      </c>
      <c r="J237" s="2" t="str">
        <f>VLOOKUP(M237,[1]Directorate!$A:$B,2,FALSE)</f>
        <v>DASCE</v>
      </c>
      <c r="K237" s="6">
        <f>ROUND(10000,2)</f>
        <v>10000</v>
      </c>
      <c r="L237" s="2">
        <v>402404</v>
      </c>
      <c r="M237" s="2">
        <v>11450</v>
      </c>
    </row>
    <row r="238" spans="1:13" ht="15.75" x14ac:dyDescent="0.25">
      <c r="A238" s="2" t="s">
        <v>272</v>
      </c>
      <c r="B238" s="2" t="s">
        <v>386</v>
      </c>
      <c r="C238" s="2">
        <v>3</v>
      </c>
      <c r="D238" s="2">
        <v>35</v>
      </c>
      <c r="E238" s="2" t="s">
        <v>22</v>
      </c>
      <c r="F238" s="2">
        <v>270000</v>
      </c>
      <c r="G238" s="2" t="s">
        <v>724</v>
      </c>
      <c r="H238" s="2" t="s">
        <v>725</v>
      </c>
      <c r="I238" s="5" t="s">
        <v>714</v>
      </c>
      <c r="J238" s="2" t="str">
        <f>VLOOKUP(M238,[1]Directorate!$A:$B,2,FALSE)</f>
        <v>Feasibility</v>
      </c>
      <c r="K238" s="6">
        <f>ROUND(358.8,2)</f>
        <v>358.8</v>
      </c>
      <c r="L238" s="2">
        <v>402001</v>
      </c>
      <c r="M238" s="2">
        <v>13062</v>
      </c>
    </row>
    <row r="239" spans="1:13" ht="15.75" x14ac:dyDescent="0.25">
      <c r="A239" s="2" t="s">
        <v>272</v>
      </c>
      <c r="B239" s="2" t="s">
        <v>396</v>
      </c>
      <c r="C239" s="2">
        <v>3</v>
      </c>
      <c r="D239" s="2">
        <v>6803</v>
      </c>
      <c r="E239" s="2" t="s">
        <v>283</v>
      </c>
      <c r="F239" s="2">
        <v>270000</v>
      </c>
      <c r="G239" s="2" t="s">
        <v>724</v>
      </c>
      <c r="H239" s="2" t="s">
        <v>725</v>
      </c>
      <c r="I239" s="7" t="s">
        <v>714</v>
      </c>
      <c r="J239" s="2" t="e">
        <f>VLOOKUP(M239,[1]Directorate!$A:$B,2,FALSE)</f>
        <v>#N/A</v>
      </c>
      <c r="K239" s="6">
        <f>ROUND(495,2)</f>
        <v>495</v>
      </c>
      <c r="L239" s="2">
        <v>402001</v>
      </c>
      <c r="M239" s="2" t="s">
        <v>148</v>
      </c>
    </row>
    <row r="240" spans="1:13" ht="15.75" x14ac:dyDescent="0.25">
      <c r="A240" s="2" t="s">
        <v>364</v>
      </c>
      <c r="B240" s="2" t="s">
        <v>399</v>
      </c>
      <c r="C240" s="2">
        <v>1</v>
      </c>
      <c r="D240" s="2">
        <v>16353</v>
      </c>
      <c r="E240" s="2" t="s">
        <v>400</v>
      </c>
      <c r="F240" s="2">
        <v>190000</v>
      </c>
      <c r="G240" s="2" t="s">
        <v>747</v>
      </c>
      <c r="H240" s="2" t="s">
        <v>710</v>
      </c>
      <c r="I240" s="5" t="s">
        <v>705</v>
      </c>
      <c r="J240" s="2" t="str">
        <f>VLOOKUP(M240,[1]Directorate!$A:$B,2,FALSE)</f>
        <v>SC - NW Strategic Sa</v>
      </c>
      <c r="K240" s="6">
        <f>ROUND(7380,2)</f>
        <v>7380</v>
      </c>
      <c r="L240" s="2">
        <v>400705</v>
      </c>
      <c r="M240" s="2">
        <v>11491</v>
      </c>
    </row>
    <row r="241" spans="1:13" ht="15.75" x14ac:dyDescent="0.25">
      <c r="A241" s="2" t="s">
        <v>364</v>
      </c>
      <c r="B241" s="2" t="s">
        <v>404</v>
      </c>
      <c r="C241" s="2">
        <v>1</v>
      </c>
      <c r="D241" s="2">
        <v>16107</v>
      </c>
      <c r="E241" s="2" t="s">
        <v>405</v>
      </c>
      <c r="F241" s="2">
        <v>110000</v>
      </c>
      <c r="G241" s="2" t="s">
        <v>759</v>
      </c>
      <c r="H241" s="2" t="s">
        <v>760</v>
      </c>
      <c r="I241" s="5" t="s">
        <v>702</v>
      </c>
      <c r="J241" s="2" t="str">
        <f>VLOOKUP(M241,[1]Directorate!$A:$B,2,FALSE)</f>
        <v>Bentax</v>
      </c>
      <c r="K241" s="6">
        <f>ROUND(70000,2)</f>
        <v>70000</v>
      </c>
      <c r="L241" s="2">
        <v>402202</v>
      </c>
      <c r="M241" s="2">
        <v>11139</v>
      </c>
    </row>
    <row r="242" spans="1:13" ht="15.75" x14ac:dyDescent="0.25">
      <c r="A242" s="2" t="s">
        <v>284</v>
      </c>
      <c r="B242" s="2" t="s">
        <v>407</v>
      </c>
      <c r="C242" s="2">
        <v>1</v>
      </c>
      <c r="D242" s="2">
        <v>2479</v>
      </c>
      <c r="E242" s="2" t="s">
        <v>303</v>
      </c>
      <c r="F242" s="2">
        <v>390000</v>
      </c>
      <c r="G242" s="2" t="s">
        <v>703</v>
      </c>
      <c r="H242" s="2" t="s">
        <v>726</v>
      </c>
      <c r="I242" s="7" t="s">
        <v>702</v>
      </c>
      <c r="J242" s="2" t="e">
        <f>VLOOKUP(M242,[1]Directorate!$A:$B,2,FALSE)</f>
        <v>#N/A</v>
      </c>
      <c r="K242" s="6">
        <f>ROUND(6981.52,2)</f>
        <v>6981.52</v>
      </c>
      <c r="L242" s="2">
        <v>200311</v>
      </c>
      <c r="M242" s="2" t="s">
        <v>180</v>
      </c>
    </row>
    <row r="243" spans="1:13" ht="15.75" x14ac:dyDescent="0.25">
      <c r="A243" s="2" t="s">
        <v>338</v>
      </c>
      <c r="B243" s="2" t="s">
        <v>411</v>
      </c>
      <c r="C243" s="2">
        <v>1</v>
      </c>
      <c r="D243" s="2">
        <v>1339</v>
      </c>
      <c r="E243" s="2" t="s">
        <v>158</v>
      </c>
      <c r="F243" s="2">
        <v>260000</v>
      </c>
      <c r="G243" s="2" t="s">
        <v>720</v>
      </c>
      <c r="H243" s="2" t="s">
        <v>721</v>
      </c>
      <c r="I243" s="5" t="s">
        <v>705</v>
      </c>
      <c r="J243" s="2" t="str">
        <f>VLOOKUP(M243,[1]Directorate!$A:$B,2,FALSE)</f>
        <v>ASD Service</v>
      </c>
      <c r="K243" s="6">
        <f>ROUND(5000,2)</f>
        <v>5000</v>
      </c>
      <c r="L243" s="2">
        <v>102020</v>
      </c>
      <c r="M243" s="2">
        <v>12742</v>
      </c>
    </row>
    <row r="244" spans="1:13" ht="15.75" x14ac:dyDescent="0.25">
      <c r="A244" s="2" t="s">
        <v>338</v>
      </c>
      <c r="B244" s="2" t="s">
        <v>412</v>
      </c>
      <c r="C244" s="2">
        <v>1</v>
      </c>
      <c r="D244" s="2">
        <v>9439</v>
      </c>
      <c r="E244" s="2" t="s">
        <v>99</v>
      </c>
      <c r="F244" s="2">
        <v>210000</v>
      </c>
      <c r="G244" s="2" t="s">
        <v>708</v>
      </c>
      <c r="H244" s="2" t="s">
        <v>707</v>
      </c>
      <c r="I244" s="5" t="s">
        <v>705</v>
      </c>
      <c r="J244" s="2" t="str">
        <f>VLOOKUP(M244,[1]Directorate!$A:$B,2,FALSE)</f>
        <v>Aids, Equip &amp; Maint</v>
      </c>
      <c r="K244" s="6">
        <f>ROUND(6530,2)</f>
        <v>6530</v>
      </c>
      <c r="L244" s="2">
        <v>400105</v>
      </c>
      <c r="M244" s="2">
        <v>11658</v>
      </c>
    </row>
    <row r="245" spans="1:13" ht="15.75" x14ac:dyDescent="0.25">
      <c r="A245" s="2" t="s">
        <v>339</v>
      </c>
      <c r="B245" s="2" t="s">
        <v>413</v>
      </c>
      <c r="C245" s="2">
        <v>1</v>
      </c>
      <c r="D245" s="2">
        <v>15359</v>
      </c>
      <c r="E245" s="2" t="s">
        <v>414</v>
      </c>
      <c r="F245" s="2">
        <v>270000</v>
      </c>
      <c r="G245" s="2" t="s">
        <v>724</v>
      </c>
      <c r="H245" s="2" t="s">
        <v>725</v>
      </c>
      <c r="I245" s="5" t="s">
        <v>702</v>
      </c>
      <c r="J245" s="2" t="str">
        <f>VLOOKUP(M245,[1]Directorate!$A:$B,2,FALSE)</f>
        <v>IT School</v>
      </c>
      <c r="K245" s="6">
        <f>ROUND(5077.89,2)</f>
        <v>5077.8900000000003</v>
      </c>
      <c r="L245" s="2">
        <v>402001</v>
      </c>
      <c r="M245" s="2">
        <v>11418</v>
      </c>
    </row>
    <row r="246" spans="1:13" ht="15.75" x14ac:dyDescent="0.25">
      <c r="A246" s="2" t="s">
        <v>339</v>
      </c>
      <c r="B246" s="2" t="s">
        <v>415</v>
      </c>
      <c r="C246" s="2">
        <v>1</v>
      </c>
      <c r="D246" s="2">
        <v>3529</v>
      </c>
      <c r="E246" s="2" t="s">
        <v>20</v>
      </c>
      <c r="F246" s="2">
        <v>390000</v>
      </c>
      <c r="G246" s="2" t="s">
        <v>713</v>
      </c>
      <c r="H246" s="2" t="s">
        <v>713</v>
      </c>
      <c r="I246" s="5" t="s">
        <v>714</v>
      </c>
      <c r="J246" s="2" t="str">
        <f>VLOOKUP(M246,[1]Directorate!$A:$B,2,FALSE)</f>
        <v>Emergency Tree Works</v>
      </c>
      <c r="K246" s="6">
        <f>ROUND(53252,2)</f>
        <v>53252</v>
      </c>
      <c r="L246" s="2">
        <v>401600</v>
      </c>
      <c r="M246" s="2">
        <v>11168</v>
      </c>
    </row>
    <row r="247" spans="1:13" ht="15.75" x14ac:dyDescent="0.25">
      <c r="A247" s="2" t="s">
        <v>339</v>
      </c>
      <c r="B247" s="2" t="s">
        <v>416</v>
      </c>
      <c r="C247" s="2">
        <v>1</v>
      </c>
      <c r="D247" s="2">
        <v>3529</v>
      </c>
      <c r="E247" s="2" t="s">
        <v>20</v>
      </c>
      <c r="F247" s="2">
        <v>390000</v>
      </c>
      <c r="G247" s="2" t="s">
        <v>713</v>
      </c>
      <c r="H247" s="2" t="s">
        <v>713</v>
      </c>
      <c r="I247" s="5" t="s">
        <v>714</v>
      </c>
      <c r="J247" s="2" t="str">
        <f>VLOOKUP(M247,[1]Directorate!$A:$B,2,FALSE)</f>
        <v>Emergency Tree Works</v>
      </c>
      <c r="K247" s="6">
        <f>ROUND(83723,2)</f>
        <v>83723</v>
      </c>
      <c r="L247" s="2">
        <v>401600</v>
      </c>
      <c r="M247" s="2">
        <v>11168</v>
      </c>
    </row>
    <row r="248" spans="1:13" ht="15.75" x14ac:dyDescent="0.25">
      <c r="A248" s="2" t="s">
        <v>339</v>
      </c>
      <c r="B248" s="2" t="s">
        <v>417</v>
      </c>
      <c r="C248" s="2">
        <v>1</v>
      </c>
      <c r="D248" s="2">
        <v>3529</v>
      </c>
      <c r="E248" s="2" t="s">
        <v>20</v>
      </c>
      <c r="F248" s="2">
        <v>390000</v>
      </c>
      <c r="G248" s="2" t="s">
        <v>713</v>
      </c>
      <c r="H248" s="2" t="s">
        <v>713</v>
      </c>
      <c r="I248" s="5" t="s">
        <v>714</v>
      </c>
      <c r="J248" s="2" t="str">
        <f>VLOOKUP(M248,[1]Directorate!$A:$B,2,FALSE)</f>
        <v>Emergency Tree Works</v>
      </c>
      <c r="K248" s="6">
        <f>ROUND(43128,2)</f>
        <v>43128</v>
      </c>
      <c r="L248" s="2">
        <v>401600</v>
      </c>
      <c r="M248" s="2">
        <v>11168</v>
      </c>
    </row>
    <row r="249" spans="1:13" ht="15.75" x14ac:dyDescent="0.25">
      <c r="A249" s="2" t="s">
        <v>339</v>
      </c>
      <c r="B249" s="2" t="s">
        <v>418</v>
      </c>
      <c r="C249" s="2">
        <v>1</v>
      </c>
      <c r="D249" s="2">
        <v>15082</v>
      </c>
      <c r="E249" s="2" t="s">
        <v>355</v>
      </c>
      <c r="F249" s="2">
        <v>290000</v>
      </c>
      <c r="G249" s="2" t="s">
        <v>752</v>
      </c>
      <c r="H249" s="2" t="s">
        <v>753</v>
      </c>
      <c r="I249" s="5" t="s">
        <v>705</v>
      </c>
      <c r="J249" s="2" t="str">
        <f>VLOOKUP(M249,[1]Directorate!$A:$B,2,FALSE)</f>
        <v>SC - Care Matters</v>
      </c>
      <c r="K249" s="6">
        <f>ROUND(8000,2)</f>
        <v>8000</v>
      </c>
      <c r="L249" s="2">
        <v>401801</v>
      </c>
      <c r="M249" s="2">
        <v>11768</v>
      </c>
    </row>
    <row r="250" spans="1:13" ht="15.75" x14ac:dyDescent="0.25">
      <c r="A250" s="2" t="s">
        <v>339</v>
      </c>
      <c r="B250" s="2" t="s">
        <v>419</v>
      </c>
      <c r="C250" s="2">
        <v>1</v>
      </c>
      <c r="D250" s="2">
        <v>5464</v>
      </c>
      <c r="E250" s="2" t="s">
        <v>420</v>
      </c>
      <c r="F250" s="2">
        <v>230000</v>
      </c>
      <c r="G250" s="2" t="s">
        <v>756</v>
      </c>
      <c r="H250" s="2" t="s">
        <v>757</v>
      </c>
      <c r="I250" s="7" t="s">
        <v>714</v>
      </c>
      <c r="J250" s="2" t="e">
        <f>VLOOKUP(M250,[1]Directorate!$A:$B,2,FALSE)</f>
        <v>#N/A</v>
      </c>
      <c r="K250" s="6">
        <f>ROUND(41943.36,2)</f>
        <v>41943.360000000001</v>
      </c>
      <c r="L250" s="2">
        <v>202055</v>
      </c>
      <c r="M250" s="2" t="s">
        <v>421</v>
      </c>
    </row>
    <row r="251" spans="1:13" ht="15.75" x14ac:dyDescent="0.25">
      <c r="A251" s="2" t="s">
        <v>339</v>
      </c>
      <c r="B251" s="2" t="s">
        <v>424</v>
      </c>
      <c r="C251" s="2">
        <v>1</v>
      </c>
      <c r="D251" s="2">
        <v>757</v>
      </c>
      <c r="E251" s="2" t="s">
        <v>67</v>
      </c>
      <c r="F251" s="2">
        <v>999999</v>
      </c>
      <c r="G251" s="2" t="s">
        <v>715</v>
      </c>
      <c r="H251" s="2" t="s">
        <v>715</v>
      </c>
      <c r="I251" s="7" t="s">
        <v>714</v>
      </c>
      <c r="J251" s="2" t="e">
        <f>VLOOKUP(M251,[1]Directorate!$A:$B,2,FALSE)</f>
        <v>#N/A</v>
      </c>
      <c r="K251" s="6">
        <f>ROUND(6000,2)</f>
        <v>6000</v>
      </c>
      <c r="L251" s="2">
        <v>401035</v>
      </c>
      <c r="M251" s="2" t="s">
        <v>425</v>
      </c>
    </row>
    <row r="252" spans="1:13" ht="15.75" x14ac:dyDescent="0.25">
      <c r="A252" s="2" t="s">
        <v>339</v>
      </c>
      <c r="B252" s="2" t="s">
        <v>413</v>
      </c>
      <c r="C252" s="2">
        <v>2</v>
      </c>
      <c r="D252" s="2">
        <v>15359</v>
      </c>
      <c r="E252" s="2" t="s">
        <v>414</v>
      </c>
      <c r="F252" s="2">
        <v>270000</v>
      </c>
      <c r="G252" s="2" t="s">
        <v>724</v>
      </c>
      <c r="H252" s="2" t="s">
        <v>725</v>
      </c>
      <c r="I252" s="5" t="s">
        <v>702</v>
      </c>
      <c r="J252" s="2" t="str">
        <f>VLOOKUP(M252,[1]Directorate!$A:$B,2,FALSE)</f>
        <v>IT School</v>
      </c>
      <c r="K252" s="6">
        <f>ROUND(3208.24,2)</f>
        <v>3208.24</v>
      </c>
      <c r="L252" s="2">
        <v>402001</v>
      </c>
      <c r="M252" s="2">
        <v>11418</v>
      </c>
    </row>
    <row r="253" spans="1:13" ht="15.75" x14ac:dyDescent="0.25">
      <c r="A253" s="2" t="s">
        <v>339</v>
      </c>
      <c r="B253" s="2" t="s">
        <v>413</v>
      </c>
      <c r="C253" s="2">
        <v>3</v>
      </c>
      <c r="D253" s="2">
        <v>15359</v>
      </c>
      <c r="E253" s="2" t="s">
        <v>414</v>
      </c>
      <c r="F253" s="2">
        <v>270000</v>
      </c>
      <c r="G253" s="2" t="s">
        <v>724</v>
      </c>
      <c r="H253" s="2" t="s">
        <v>725</v>
      </c>
      <c r="I253" s="5" t="s">
        <v>702</v>
      </c>
      <c r="J253" s="2" t="str">
        <f>VLOOKUP(M253,[1]Directorate!$A:$B,2,FALSE)</f>
        <v>IT School</v>
      </c>
      <c r="K253" s="6">
        <f>ROUND(264.11,2)</f>
        <v>264.11</v>
      </c>
      <c r="L253" s="2">
        <v>402001</v>
      </c>
      <c r="M253" s="2">
        <v>11418</v>
      </c>
    </row>
    <row r="254" spans="1:13" ht="15.75" x14ac:dyDescent="0.25">
      <c r="A254" s="2" t="s">
        <v>339</v>
      </c>
      <c r="B254" s="2" t="s">
        <v>413</v>
      </c>
      <c r="C254" s="2">
        <v>4</v>
      </c>
      <c r="D254" s="2">
        <v>15359</v>
      </c>
      <c r="E254" s="2" t="s">
        <v>414</v>
      </c>
      <c r="F254" s="2">
        <v>270000</v>
      </c>
      <c r="G254" s="2" t="s">
        <v>724</v>
      </c>
      <c r="H254" s="2" t="s">
        <v>725</v>
      </c>
      <c r="I254" s="5" t="s">
        <v>702</v>
      </c>
      <c r="J254" s="2" t="str">
        <f>VLOOKUP(M254,[1]Directorate!$A:$B,2,FALSE)</f>
        <v>IT School</v>
      </c>
      <c r="K254" s="6">
        <f>ROUND(219.45,2)</f>
        <v>219.45</v>
      </c>
      <c r="L254" s="2">
        <v>402001</v>
      </c>
      <c r="M254" s="2">
        <v>11418</v>
      </c>
    </row>
    <row r="255" spans="1:13" ht="15.75" x14ac:dyDescent="0.25">
      <c r="A255" s="2" t="s">
        <v>339</v>
      </c>
      <c r="B255" s="2" t="s">
        <v>413</v>
      </c>
      <c r="C255" s="2">
        <v>5</v>
      </c>
      <c r="D255" s="2">
        <v>15359</v>
      </c>
      <c r="E255" s="2" t="s">
        <v>414</v>
      </c>
      <c r="F255" s="2">
        <v>270000</v>
      </c>
      <c r="G255" s="2" t="s">
        <v>724</v>
      </c>
      <c r="H255" s="2" t="s">
        <v>725</v>
      </c>
      <c r="I255" s="5" t="s">
        <v>702</v>
      </c>
      <c r="J255" s="2" t="str">
        <f>VLOOKUP(M255,[1]Directorate!$A:$B,2,FALSE)</f>
        <v>IT School</v>
      </c>
      <c r="K255" s="6">
        <f>ROUND(980,2)</f>
        <v>980</v>
      </c>
      <c r="L255" s="2">
        <v>402001</v>
      </c>
      <c r="M255" s="2">
        <v>11418</v>
      </c>
    </row>
    <row r="256" spans="1:13" ht="15.75" x14ac:dyDescent="0.25">
      <c r="A256" s="2" t="s">
        <v>342</v>
      </c>
      <c r="B256" s="2" t="s">
        <v>363</v>
      </c>
      <c r="C256" s="2">
        <v>1</v>
      </c>
      <c r="D256" s="2">
        <v>5555</v>
      </c>
      <c r="E256" s="2" t="s">
        <v>78</v>
      </c>
      <c r="F256" s="2">
        <v>261100</v>
      </c>
      <c r="G256" s="2" t="s">
        <v>719</v>
      </c>
      <c r="H256" s="2" t="s">
        <v>717</v>
      </c>
      <c r="I256" s="5" t="s">
        <v>705</v>
      </c>
      <c r="J256" s="2" t="str">
        <f>VLOOKUP(M256,[1]Directorate!$A:$B,2,FALSE)</f>
        <v>Incl - S.I.U - Perip</v>
      </c>
      <c r="K256" s="6">
        <f>ROUND(6941.52,2)</f>
        <v>6941.52</v>
      </c>
      <c r="L256" s="2">
        <v>401023</v>
      </c>
      <c r="M256" s="2">
        <v>10307</v>
      </c>
    </row>
    <row r="257" spans="1:13" ht="15.75" x14ac:dyDescent="0.25">
      <c r="A257" s="2" t="s">
        <v>342</v>
      </c>
      <c r="B257" s="2" t="s">
        <v>401</v>
      </c>
      <c r="C257" s="2">
        <v>1</v>
      </c>
      <c r="D257" s="2">
        <v>6967</v>
      </c>
      <c r="E257" s="2" t="s">
        <v>53</v>
      </c>
      <c r="F257" s="2">
        <v>150000</v>
      </c>
      <c r="G257" s="2" t="s">
        <v>716</v>
      </c>
      <c r="H257" s="2" t="s">
        <v>717</v>
      </c>
      <c r="I257" s="5" t="s">
        <v>714</v>
      </c>
      <c r="J257" s="2" t="str">
        <f>VLOOKUP(M257,[1]Directorate!$A:$B,2,FALSE)</f>
        <v>MS Design Frnwk Staf</v>
      </c>
      <c r="K257" s="6">
        <f>ROUND(113461.92,2)</f>
        <v>113461.92</v>
      </c>
      <c r="L257" s="2">
        <v>401020</v>
      </c>
      <c r="M257" s="2">
        <v>13107</v>
      </c>
    </row>
    <row r="258" spans="1:13" ht="15.75" x14ac:dyDescent="0.25">
      <c r="A258" s="2" t="s">
        <v>342</v>
      </c>
      <c r="B258" s="2" t="s">
        <v>409</v>
      </c>
      <c r="C258" s="2">
        <v>1</v>
      </c>
      <c r="D258" s="2">
        <v>1342</v>
      </c>
      <c r="E258" s="2" t="s">
        <v>152</v>
      </c>
      <c r="F258" s="2">
        <v>182020</v>
      </c>
      <c r="G258" s="2" t="s">
        <v>727</v>
      </c>
      <c r="H258" s="2" t="s">
        <v>728</v>
      </c>
      <c r="I258" s="5" t="s">
        <v>714</v>
      </c>
      <c r="J258" s="2" t="str">
        <f>VLOOKUP(M258,[1]Directorate!$A:$B,2,FALSE)</f>
        <v>Bulk Container</v>
      </c>
      <c r="K258" s="6">
        <f>ROUND(6357,2)</f>
        <v>6357</v>
      </c>
      <c r="L258" s="2">
        <v>400401</v>
      </c>
      <c r="M258" s="2">
        <v>10883</v>
      </c>
    </row>
    <row r="259" spans="1:13" ht="15.75" x14ac:dyDescent="0.25">
      <c r="A259" s="2" t="s">
        <v>342</v>
      </c>
      <c r="B259" s="2" t="s">
        <v>426</v>
      </c>
      <c r="C259" s="2">
        <v>1</v>
      </c>
      <c r="D259" s="2">
        <v>3529</v>
      </c>
      <c r="E259" s="2" t="s">
        <v>20</v>
      </c>
      <c r="F259" s="2">
        <v>390000</v>
      </c>
      <c r="G259" s="2" t="s">
        <v>713</v>
      </c>
      <c r="H259" s="2" t="s">
        <v>713</v>
      </c>
      <c r="I259" s="5" t="s">
        <v>714</v>
      </c>
      <c r="J259" s="2" t="str">
        <f>VLOOKUP(M259,[1]Directorate!$A:$B,2,FALSE)</f>
        <v>Emergency Tree Works</v>
      </c>
      <c r="K259" s="6">
        <f>ROUND(190860,2)</f>
        <v>190860</v>
      </c>
      <c r="L259" s="2">
        <v>401600</v>
      </c>
      <c r="M259" s="2">
        <v>11168</v>
      </c>
    </row>
    <row r="260" spans="1:13" ht="15.75" x14ac:dyDescent="0.25">
      <c r="A260" s="2" t="s">
        <v>342</v>
      </c>
      <c r="B260" s="2" t="s">
        <v>430</v>
      </c>
      <c r="C260" s="2">
        <v>1</v>
      </c>
      <c r="D260" s="2">
        <v>15643</v>
      </c>
      <c r="E260" s="2" t="s">
        <v>431</v>
      </c>
      <c r="F260" s="2">
        <v>320000</v>
      </c>
      <c r="G260" s="2" t="s">
        <v>741</v>
      </c>
      <c r="H260" s="2" t="s">
        <v>761</v>
      </c>
      <c r="I260" s="5" t="s">
        <v>705</v>
      </c>
      <c r="J260" s="2" t="str">
        <f>VLOOKUP(M260,[1]Directorate!$A:$B,2,FALSE)</f>
        <v>DP - Respite</v>
      </c>
      <c r="K260" s="6">
        <f>ROUND(12064,2)</f>
        <v>12064</v>
      </c>
      <c r="L260" s="2">
        <v>530335</v>
      </c>
      <c r="M260" s="2">
        <v>11513</v>
      </c>
    </row>
    <row r="261" spans="1:13" ht="15.75" x14ac:dyDescent="0.25">
      <c r="A261" s="2" t="s">
        <v>389</v>
      </c>
      <c r="B261" s="2" t="s">
        <v>433</v>
      </c>
      <c r="C261" s="2">
        <v>1</v>
      </c>
      <c r="D261" s="2">
        <v>14666</v>
      </c>
      <c r="E261" s="2" t="s">
        <v>255</v>
      </c>
      <c r="F261" s="2">
        <v>390000</v>
      </c>
      <c r="G261" s="2" t="s">
        <v>703</v>
      </c>
      <c r="H261" s="2" t="s">
        <v>704</v>
      </c>
      <c r="I261" s="5" t="s">
        <v>705</v>
      </c>
      <c r="J261" s="2" t="str">
        <f>VLOOKUP(M261,[1]Directorate!$A:$B,2,FALSE)</f>
        <v>Highfields PRU</v>
      </c>
      <c r="K261" s="6">
        <f>ROUND(5188.16,2)</f>
        <v>5188.16</v>
      </c>
      <c r="L261" s="2">
        <v>200123</v>
      </c>
      <c r="M261" s="2">
        <v>10329</v>
      </c>
    </row>
    <row r="262" spans="1:13" ht="15.75" x14ac:dyDescent="0.25">
      <c r="A262" s="2" t="s">
        <v>389</v>
      </c>
      <c r="B262" s="2" t="s">
        <v>441</v>
      </c>
      <c r="C262" s="2">
        <v>1</v>
      </c>
      <c r="D262" s="2">
        <v>14669</v>
      </c>
      <c r="E262" s="2" t="s">
        <v>129</v>
      </c>
      <c r="F262" s="2">
        <v>150000</v>
      </c>
      <c r="G262" s="2" t="s">
        <v>716</v>
      </c>
      <c r="H262" s="2" t="s">
        <v>717</v>
      </c>
      <c r="I262" s="5" t="s">
        <v>705</v>
      </c>
      <c r="J262" s="2" t="str">
        <f>VLOOKUP(M262,[1]Directorate!$A:$B,2,FALSE)</f>
        <v>Condition Surveys</v>
      </c>
      <c r="K262" s="6">
        <f>ROUND(10675.39,2)</f>
        <v>10675.39</v>
      </c>
      <c r="L262" s="2">
        <v>401007</v>
      </c>
      <c r="M262" s="2">
        <v>10734</v>
      </c>
    </row>
    <row r="263" spans="1:13" ht="15.75" x14ac:dyDescent="0.25">
      <c r="A263" s="2" t="s">
        <v>330</v>
      </c>
      <c r="B263" s="2" t="s">
        <v>435</v>
      </c>
      <c r="C263" s="2">
        <v>1</v>
      </c>
      <c r="D263" s="2">
        <v>6116</v>
      </c>
      <c r="E263" s="2" t="s">
        <v>436</v>
      </c>
      <c r="F263" s="2">
        <v>150000</v>
      </c>
      <c r="G263" s="2" t="s">
        <v>716</v>
      </c>
      <c r="H263" s="2" t="s">
        <v>717</v>
      </c>
      <c r="I263" s="5" t="s">
        <v>714</v>
      </c>
      <c r="J263" s="2" t="str">
        <f>VLOOKUP(M263,[1]Directorate!$A:$B,2,FALSE)</f>
        <v>Network Management</v>
      </c>
      <c r="K263" s="6">
        <f>ROUND(70308,2)</f>
        <v>70308</v>
      </c>
      <c r="L263" s="2">
        <v>401020</v>
      </c>
      <c r="M263" s="2">
        <v>13179</v>
      </c>
    </row>
    <row r="264" spans="1:13" ht="15.75" x14ac:dyDescent="0.25">
      <c r="A264" s="2" t="s">
        <v>330</v>
      </c>
      <c r="B264" s="2" t="s">
        <v>437</v>
      </c>
      <c r="C264" s="2">
        <v>1</v>
      </c>
      <c r="D264" s="2">
        <v>544</v>
      </c>
      <c r="E264" s="2" t="s">
        <v>161</v>
      </c>
      <c r="F264" s="2">
        <v>270000</v>
      </c>
      <c r="G264" s="2" t="s">
        <v>724</v>
      </c>
      <c r="H264" s="2" t="s">
        <v>725</v>
      </c>
      <c r="I264" s="5" t="s">
        <v>702</v>
      </c>
      <c r="J264" s="2" t="str">
        <f>VLOOKUP(M264,[1]Directorate!$A:$B,2,FALSE)</f>
        <v>IT Microsoft</v>
      </c>
      <c r="K264" s="6">
        <f>ROUND(2816.6,2)</f>
        <v>2816.6</v>
      </c>
      <c r="L264" s="2">
        <v>402010</v>
      </c>
      <c r="M264" s="2">
        <v>13091</v>
      </c>
    </row>
    <row r="265" spans="1:13" ht="15.75" x14ac:dyDescent="0.25">
      <c r="A265" s="2" t="s">
        <v>330</v>
      </c>
      <c r="B265" s="2" t="s">
        <v>449</v>
      </c>
      <c r="C265" s="2">
        <v>1</v>
      </c>
      <c r="D265" s="2">
        <v>15111</v>
      </c>
      <c r="E265" s="2" t="s">
        <v>450</v>
      </c>
      <c r="F265" s="2">
        <v>150000</v>
      </c>
      <c r="G265" s="2" t="s">
        <v>716</v>
      </c>
      <c r="H265" s="2" t="s">
        <v>717</v>
      </c>
      <c r="I265" s="5" t="s">
        <v>705</v>
      </c>
      <c r="J265" s="2" t="str">
        <f>VLOOKUP(M265,[1]Directorate!$A:$B,2,FALSE)</f>
        <v>PH-Local Pilot</v>
      </c>
      <c r="K265" s="6">
        <f>ROUND(10000,2)</f>
        <v>10000</v>
      </c>
      <c r="L265" s="2">
        <v>401020</v>
      </c>
      <c r="M265" s="2">
        <v>13047</v>
      </c>
    </row>
    <row r="266" spans="1:13" ht="15.75" x14ac:dyDescent="0.25">
      <c r="A266" s="2" t="s">
        <v>330</v>
      </c>
      <c r="B266" s="2" t="s">
        <v>451</v>
      </c>
      <c r="C266" s="2">
        <v>1</v>
      </c>
      <c r="D266" s="2">
        <v>15082</v>
      </c>
      <c r="E266" s="2" t="s">
        <v>355</v>
      </c>
      <c r="F266" s="2">
        <v>150000</v>
      </c>
      <c r="G266" s="2" t="s">
        <v>716</v>
      </c>
      <c r="H266" s="2" t="s">
        <v>717</v>
      </c>
      <c r="I266" s="5" t="s">
        <v>705</v>
      </c>
      <c r="J266" s="2" t="str">
        <f>VLOOKUP(M266,[1]Directorate!$A:$B,2,FALSE)</f>
        <v>PH-Local Pilot</v>
      </c>
      <c r="K266" s="6">
        <f>ROUND(30500,2)</f>
        <v>30500</v>
      </c>
      <c r="L266" s="2">
        <v>401020</v>
      </c>
      <c r="M266" s="2">
        <v>13047</v>
      </c>
    </row>
    <row r="267" spans="1:13" ht="15.75" x14ac:dyDescent="0.25">
      <c r="A267" s="2" t="s">
        <v>330</v>
      </c>
      <c r="B267" s="2" t="s">
        <v>452</v>
      </c>
      <c r="C267" s="2">
        <v>1</v>
      </c>
      <c r="D267" s="2">
        <v>1104</v>
      </c>
      <c r="E267" s="2" t="s">
        <v>41</v>
      </c>
      <c r="F267" s="2">
        <v>150000</v>
      </c>
      <c r="G267" s="2" t="s">
        <v>716</v>
      </c>
      <c r="H267" s="2" t="s">
        <v>717</v>
      </c>
      <c r="I267" s="5" t="s">
        <v>705</v>
      </c>
      <c r="J267" s="2" t="str">
        <f>VLOOKUP(M267,[1]Directorate!$A:$B,2,FALSE)</f>
        <v>PH-Local Pilot</v>
      </c>
      <c r="K267" s="6">
        <f>ROUND(16000,2)</f>
        <v>16000</v>
      </c>
      <c r="L267" s="2">
        <v>401020</v>
      </c>
      <c r="M267" s="2">
        <v>13047</v>
      </c>
    </row>
    <row r="268" spans="1:13" ht="15.75" x14ac:dyDescent="0.25">
      <c r="A268" s="2" t="s">
        <v>330</v>
      </c>
      <c r="B268" s="2" t="s">
        <v>453</v>
      </c>
      <c r="C268" s="2">
        <v>1</v>
      </c>
      <c r="D268" s="2">
        <v>1816</v>
      </c>
      <c r="E268" s="2" t="s">
        <v>454</v>
      </c>
      <c r="F268" s="2">
        <v>150000</v>
      </c>
      <c r="G268" s="2" t="s">
        <v>716</v>
      </c>
      <c r="H268" s="2" t="s">
        <v>717</v>
      </c>
      <c r="I268" s="5" t="s">
        <v>705</v>
      </c>
      <c r="J268" s="2" t="str">
        <f>VLOOKUP(M268,[1]Directorate!$A:$B,2,FALSE)</f>
        <v>PH-Local Pilot</v>
      </c>
      <c r="K268" s="6">
        <f>ROUND(15000,2)</f>
        <v>15000</v>
      </c>
      <c r="L268" s="2">
        <v>401020</v>
      </c>
      <c r="M268" s="2">
        <v>13047</v>
      </c>
    </row>
    <row r="269" spans="1:13" ht="15.75" x14ac:dyDescent="0.25">
      <c r="A269" s="2" t="s">
        <v>330</v>
      </c>
      <c r="B269" s="2" t="s">
        <v>455</v>
      </c>
      <c r="C269" s="2">
        <v>1</v>
      </c>
      <c r="D269" s="2">
        <v>3529</v>
      </c>
      <c r="E269" s="2" t="s">
        <v>20</v>
      </c>
      <c r="F269" s="2">
        <v>390000</v>
      </c>
      <c r="G269" s="2" t="s">
        <v>703</v>
      </c>
      <c r="H269" s="2" t="s">
        <v>726</v>
      </c>
      <c r="I269" s="5" t="s">
        <v>714</v>
      </c>
      <c r="J269" s="2" t="str">
        <f>VLOOKUP(M269,[1]Directorate!$A:$B,2,FALSE)</f>
        <v>Highway Structs R+R</v>
      </c>
      <c r="K269" s="6">
        <f>ROUND(6520,2)</f>
        <v>6520</v>
      </c>
      <c r="L269" s="2">
        <v>200304</v>
      </c>
      <c r="M269" s="2">
        <v>11975</v>
      </c>
    </row>
    <row r="270" spans="1:13" ht="15.75" x14ac:dyDescent="0.25">
      <c r="A270" s="2" t="s">
        <v>330</v>
      </c>
      <c r="B270" s="2" t="s">
        <v>456</v>
      </c>
      <c r="C270" s="2">
        <v>1</v>
      </c>
      <c r="D270" s="2">
        <v>1342</v>
      </c>
      <c r="E270" s="2" t="s">
        <v>152</v>
      </c>
      <c r="F270" s="2">
        <v>182020</v>
      </c>
      <c r="G270" s="2" t="s">
        <v>727</v>
      </c>
      <c r="H270" s="2" t="s">
        <v>728</v>
      </c>
      <c r="I270" s="5" t="s">
        <v>714</v>
      </c>
      <c r="J270" s="2" t="str">
        <f>VLOOKUP(M270,[1]Directorate!$A:$B,2,FALSE)</f>
        <v>Bulk Container</v>
      </c>
      <c r="K270" s="6">
        <f>ROUND(4279,2)</f>
        <v>4279</v>
      </c>
      <c r="L270" s="2">
        <v>400401</v>
      </c>
      <c r="M270" s="2">
        <v>10883</v>
      </c>
    </row>
    <row r="271" spans="1:13" ht="15.75" x14ac:dyDescent="0.25">
      <c r="A271" s="2" t="s">
        <v>330</v>
      </c>
      <c r="B271" s="2" t="s">
        <v>457</v>
      </c>
      <c r="C271" s="2">
        <v>1</v>
      </c>
      <c r="D271" s="2">
        <v>1644</v>
      </c>
      <c r="E271" s="2" t="s">
        <v>155</v>
      </c>
      <c r="F271" s="2">
        <v>150000</v>
      </c>
      <c r="G271" s="2" t="s">
        <v>716</v>
      </c>
      <c r="H271" s="2" t="s">
        <v>717</v>
      </c>
      <c r="I271" s="5" t="s">
        <v>702</v>
      </c>
      <c r="J271" s="2" t="str">
        <f>VLOOKUP(M271,[1]Directorate!$A:$B,2,FALSE)</f>
        <v>Bentax</v>
      </c>
      <c r="K271" s="6">
        <f>ROUND(10000,2)</f>
        <v>10000</v>
      </c>
      <c r="L271" s="2">
        <v>401020</v>
      </c>
      <c r="M271" s="2">
        <v>11139</v>
      </c>
    </row>
    <row r="272" spans="1:13" ht="15.75" x14ac:dyDescent="0.25">
      <c r="A272" s="2" t="s">
        <v>330</v>
      </c>
      <c r="B272" s="2" t="s">
        <v>460</v>
      </c>
      <c r="C272" s="2">
        <v>1</v>
      </c>
      <c r="D272" s="2">
        <v>6967</v>
      </c>
      <c r="E272" s="2" t="s">
        <v>53</v>
      </c>
      <c r="F272" s="2">
        <v>150000</v>
      </c>
      <c r="G272" s="2" t="s">
        <v>716</v>
      </c>
      <c r="H272" s="2" t="s">
        <v>717</v>
      </c>
      <c r="I272" s="7" t="s">
        <v>714</v>
      </c>
      <c r="J272" s="2" t="e">
        <f>VLOOKUP(M272,[1]Directorate!$A:$B,2,FALSE)</f>
        <v>#N/A</v>
      </c>
      <c r="K272" s="6">
        <f>ROUND(30000,2)</f>
        <v>30000</v>
      </c>
      <c r="L272" s="2">
        <v>401020</v>
      </c>
      <c r="M272" s="2" t="s">
        <v>461</v>
      </c>
    </row>
    <row r="273" spans="1:13" ht="15.75" x14ac:dyDescent="0.25">
      <c r="A273" s="2" t="s">
        <v>330</v>
      </c>
      <c r="B273" s="2" t="s">
        <v>437</v>
      </c>
      <c r="C273" s="2">
        <v>2</v>
      </c>
      <c r="D273" s="2">
        <v>544</v>
      </c>
      <c r="E273" s="2" t="s">
        <v>161</v>
      </c>
      <c r="F273" s="2">
        <v>270000</v>
      </c>
      <c r="G273" s="2" t="s">
        <v>724</v>
      </c>
      <c r="H273" s="2" t="s">
        <v>725</v>
      </c>
      <c r="I273" s="5" t="s">
        <v>702</v>
      </c>
      <c r="J273" s="2" t="str">
        <f>VLOOKUP(M273,[1]Directorate!$A:$B,2,FALSE)</f>
        <v>IT Microsoft</v>
      </c>
      <c r="K273" s="6">
        <f>ROUND(97201.44,2)</f>
        <v>97201.44</v>
      </c>
      <c r="L273" s="2">
        <v>402010</v>
      </c>
      <c r="M273" s="2">
        <v>13091</v>
      </c>
    </row>
    <row r="274" spans="1:13" ht="15.75" x14ac:dyDescent="0.25">
      <c r="A274" s="2" t="s">
        <v>330</v>
      </c>
      <c r="B274" s="2" t="s">
        <v>456</v>
      </c>
      <c r="C274" s="2">
        <v>2</v>
      </c>
      <c r="D274" s="2">
        <v>1342</v>
      </c>
      <c r="E274" s="2" t="s">
        <v>152</v>
      </c>
      <c r="F274" s="2">
        <v>182020</v>
      </c>
      <c r="G274" s="2" t="s">
        <v>727</v>
      </c>
      <c r="H274" s="2" t="s">
        <v>728</v>
      </c>
      <c r="I274" s="5" t="s">
        <v>714</v>
      </c>
      <c r="J274" s="2" t="str">
        <f>VLOOKUP(M274,[1]Directorate!$A:$B,2,FALSE)</f>
        <v>Bulk Container</v>
      </c>
      <c r="K274" s="6">
        <f>ROUND(2917.5,2)</f>
        <v>2917.5</v>
      </c>
      <c r="L274" s="2">
        <v>400401</v>
      </c>
      <c r="M274" s="2">
        <v>10883</v>
      </c>
    </row>
    <row r="275" spans="1:13" ht="15.75" x14ac:dyDescent="0.25">
      <c r="A275" s="2" t="s">
        <v>330</v>
      </c>
      <c r="B275" s="2" t="s">
        <v>437</v>
      </c>
      <c r="C275" s="2">
        <v>3</v>
      </c>
      <c r="D275" s="2">
        <v>544</v>
      </c>
      <c r="E275" s="2" t="s">
        <v>161</v>
      </c>
      <c r="F275" s="2">
        <v>270000</v>
      </c>
      <c r="G275" s="2" t="s">
        <v>724</v>
      </c>
      <c r="H275" s="2" t="s">
        <v>725</v>
      </c>
      <c r="I275" s="5" t="s">
        <v>702</v>
      </c>
      <c r="J275" s="2" t="str">
        <f>VLOOKUP(M275,[1]Directorate!$A:$B,2,FALSE)</f>
        <v>IT Microsoft</v>
      </c>
      <c r="K275" s="6">
        <f>ROUND(1410.48,2)</f>
        <v>1410.48</v>
      </c>
      <c r="L275" s="2">
        <v>402010</v>
      </c>
      <c r="M275" s="2">
        <v>13091</v>
      </c>
    </row>
    <row r="276" spans="1:13" ht="15.75" x14ac:dyDescent="0.25">
      <c r="A276" s="2" t="s">
        <v>330</v>
      </c>
      <c r="B276" s="2" t="s">
        <v>456</v>
      </c>
      <c r="C276" s="2">
        <v>3</v>
      </c>
      <c r="D276" s="2">
        <v>1342</v>
      </c>
      <c r="E276" s="2" t="s">
        <v>152</v>
      </c>
      <c r="F276" s="2">
        <v>182020</v>
      </c>
      <c r="G276" s="2" t="s">
        <v>727</v>
      </c>
      <c r="H276" s="2" t="s">
        <v>728</v>
      </c>
      <c r="I276" s="5" t="s">
        <v>714</v>
      </c>
      <c r="J276" s="2" t="str">
        <f>VLOOKUP(M276,[1]Directorate!$A:$B,2,FALSE)</f>
        <v>Bulk Container</v>
      </c>
      <c r="K276" s="6">
        <f>ROUND(389,2)</f>
        <v>389</v>
      </c>
      <c r="L276" s="2">
        <v>400401</v>
      </c>
      <c r="M276" s="2">
        <v>10883</v>
      </c>
    </row>
    <row r="277" spans="1:13" ht="15.75" x14ac:dyDescent="0.25">
      <c r="A277" s="2" t="s">
        <v>330</v>
      </c>
      <c r="B277" s="2" t="s">
        <v>437</v>
      </c>
      <c r="C277" s="2">
        <v>4</v>
      </c>
      <c r="D277" s="2">
        <v>544</v>
      </c>
      <c r="E277" s="2" t="s">
        <v>161</v>
      </c>
      <c r="F277" s="2">
        <v>270000</v>
      </c>
      <c r="G277" s="2" t="s">
        <v>724</v>
      </c>
      <c r="H277" s="2" t="s">
        <v>725</v>
      </c>
      <c r="I277" s="5" t="s">
        <v>702</v>
      </c>
      <c r="J277" s="2" t="str">
        <f>VLOOKUP(M277,[1]Directorate!$A:$B,2,FALSE)</f>
        <v>IT Microsoft</v>
      </c>
      <c r="K277" s="6">
        <f>ROUND(36998.24,2)</f>
        <v>36998.239999999998</v>
      </c>
      <c r="L277" s="2">
        <v>402010</v>
      </c>
      <c r="M277" s="2">
        <v>13091</v>
      </c>
    </row>
    <row r="278" spans="1:13" ht="15.75" x14ac:dyDescent="0.25">
      <c r="A278" s="2" t="s">
        <v>330</v>
      </c>
      <c r="B278" s="2" t="s">
        <v>456</v>
      </c>
      <c r="C278" s="2">
        <v>4</v>
      </c>
      <c r="D278" s="2">
        <v>1342</v>
      </c>
      <c r="E278" s="2" t="s">
        <v>152</v>
      </c>
      <c r="F278" s="2">
        <v>182020</v>
      </c>
      <c r="G278" s="2" t="s">
        <v>727</v>
      </c>
      <c r="H278" s="2" t="s">
        <v>728</v>
      </c>
      <c r="I278" s="5" t="s">
        <v>714</v>
      </c>
      <c r="J278" s="2" t="str">
        <f>VLOOKUP(M278,[1]Directorate!$A:$B,2,FALSE)</f>
        <v>Bulk Container</v>
      </c>
      <c r="K278" s="6">
        <f>ROUND(290,2)</f>
        <v>290</v>
      </c>
      <c r="L278" s="2">
        <v>400401</v>
      </c>
      <c r="M278" s="2">
        <v>10883</v>
      </c>
    </row>
    <row r="279" spans="1:13" ht="15.75" x14ac:dyDescent="0.25">
      <c r="A279" s="2" t="s">
        <v>330</v>
      </c>
      <c r="B279" s="2" t="s">
        <v>456</v>
      </c>
      <c r="C279" s="2">
        <v>5</v>
      </c>
      <c r="D279" s="2">
        <v>1342</v>
      </c>
      <c r="E279" s="2" t="s">
        <v>152</v>
      </c>
      <c r="F279" s="2">
        <v>182020</v>
      </c>
      <c r="G279" s="2" t="s">
        <v>727</v>
      </c>
      <c r="H279" s="2" t="s">
        <v>728</v>
      </c>
      <c r="I279" s="5" t="s">
        <v>714</v>
      </c>
      <c r="J279" s="2" t="str">
        <f>VLOOKUP(M279,[1]Directorate!$A:$B,2,FALSE)</f>
        <v>Bulk Container</v>
      </c>
      <c r="K279" s="6">
        <f>ROUND(2595,2)</f>
        <v>2595</v>
      </c>
      <c r="L279" s="2">
        <v>400401</v>
      </c>
      <c r="M279" s="2">
        <v>10883</v>
      </c>
    </row>
    <row r="280" spans="1:13" ht="15.75" x14ac:dyDescent="0.25">
      <c r="A280" s="2" t="s">
        <v>429</v>
      </c>
      <c r="B280" s="2" t="s">
        <v>440</v>
      </c>
      <c r="C280" s="2">
        <v>1</v>
      </c>
      <c r="D280" s="2">
        <v>544</v>
      </c>
      <c r="E280" s="2" t="s">
        <v>161</v>
      </c>
      <c r="F280" s="2">
        <v>270000</v>
      </c>
      <c r="G280" s="2" t="s">
        <v>724</v>
      </c>
      <c r="H280" s="2" t="s">
        <v>725</v>
      </c>
      <c r="I280" s="5" t="s">
        <v>702</v>
      </c>
      <c r="J280" s="2" t="str">
        <f>VLOOKUP(M280,[1]Directorate!$A:$B,2,FALSE)</f>
        <v>IT Microsoft</v>
      </c>
      <c r="K280" s="6">
        <f>ROUND(475.01,2)</f>
        <v>475.01</v>
      </c>
      <c r="L280" s="2">
        <v>402010</v>
      </c>
      <c r="M280" s="2">
        <v>13091</v>
      </c>
    </row>
    <row r="281" spans="1:13" ht="15.75" x14ac:dyDescent="0.25">
      <c r="A281" s="2" t="s">
        <v>429</v>
      </c>
      <c r="B281" s="2" t="s">
        <v>462</v>
      </c>
      <c r="C281" s="2">
        <v>1</v>
      </c>
      <c r="D281" s="2">
        <v>8163</v>
      </c>
      <c r="E281" s="2" t="s">
        <v>463</v>
      </c>
      <c r="F281" s="2">
        <v>320000</v>
      </c>
      <c r="G281" s="2" t="s">
        <v>741</v>
      </c>
      <c r="H281" s="2" t="s">
        <v>742</v>
      </c>
      <c r="I281" s="5" t="s">
        <v>702</v>
      </c>
      <c r="J281" s="2" t="str">
        <f>VLOOKUP(M281,[1]Directorate!$A:$B,2,FALSE)</f>
        <v>Com. Invest Fund</v>
      </c>
      <c r="K281" s="6">
        <f>ROUND(25000,2)</f>
        <v>25000</v>
      </c>
      <c r="L281" s="2">
        <v>402403</v>
      </c>
      <c r="M281" s="2">
        <v>12979</v>
      </c>
    </row>
    <row r="282" spans="1:13" ht="15.75" x14ac:dyDescent="0.25">
      <c r="A282" s="2" t="s">
        <v>429</v>
      </c>
      <c r="B282" s="2" t="s">
        <v>467</v>
      </c>
      <c r="C282" s="2">
        <v>1</v>
      </c>
      <c r="D282" s="2">
        <v>8233</v>
      </c>
      <c r="E282" s="2" t="s">
        <v>194</v>
      </c>
      <c r="F282" s="2">
        <v>182020</v>
      </c>
      <c r="G282" s="2" t="s">
        <v>727</v>
      </c>
      <c r="H282" s="2" t="s">
        <v>728</v>
      </c>
      <c r="I282" s="5" t="s">
        <v>714</v>
      </c>
      <c r="J282" s="2" t="str">
        <f>VLOOKUP(M282,[1]Directorate!$A:$B,2,FALSE)</f>
        <v>Wheelie Bins</v>
      </c>
      <c r="K282" s="6">
        <f>ROUND(15456,2)</f>
        <v>15456</v>
      </c>
      <c r="L282" s="2">
        <v>400401</v>
      </c>
      <c r="M282" s="2">
        <v>10864</v>
      </c>
    </row>
    <row r="283" spans="1:13" ht="15.75" x14ac:dyDescent="0.25">
      <c r="A283" s="2" t="s">
        <v>429</v>
      </c>
      <c r="B283" s="2" t="s">
        <v>440</v>
      </c>
      <c r="C283" s="2">
        <v>2</v>
      </c>
      <c r="D283" s="2">
        <v>544</v>
      </c>
      <c r="E283" s="2" t="s">
        <v>161</v>
      </c>
      <c r="F283" s="2">
        <v>270000</v>
      </c>
      <c r="G283" s="2" t="s">
        <v>724</v>
      </c>
      <c r="H283" s="2" t="s">
        <v>725</v>
      </c>
      <c r="I283" s="5" t="s">
        <v>702</v>
      </c>
      <c r="J283" s="2" t="str">
        <f>VLOOKUP(M283,[1]Directorate!$A:$B,2,FALSE)</f>
        <v>IT Microsoft</v>
      </c>
      <c r="K283" s="6">
        <f>ROUND(25593.5,2)</f>
        <v>25593.5</v>
      </c>
      <c r="L283" s="2">
        <v>402010</v>
      </c>
      <c r="M283" s="2">
        <v>13091</v>
      </c>
    </row>
    <row r="284" spans="1:13" ht="15.75" x14ac:dyDescent="0.25">
      <c r="A284" s="2" t="s">
        <v>429</v>
      </c>
      <c r="B284" s="2" t="s">
        <v>462</v>
      </c>
      <c r="C284" s="2">
        <v>2</v>
      </c>
      <c r="D284" s="2">
        <v>8163</v>
      </c>
      <c r="E284" s="2" t="s">
        <v>463</v>
      </c>
      <c r="F284" s="2">
        <v>320000</v>
      </c>
      <c r="G284" s="2" t="s">
        <v>741</v>
      </c>
      <c r="H284" s="2" t="s">
        <v>742</v>
      </c>
      <c r="I284" s="5" t="s">
        <v>702</v>
      </c>
      <c r="J284" s="2" t="str">
        <f>VLOOKUP(M284,[1]Directorate!$A:$B,2,FALSE)</f>
        <v>Com. Invest Fund</v>
      </c>
      <c r="K284" s="6">
        <f>ROUND(25000,2)</f>
        <v>25000</v>
      </c>
      <c r="L284" s="2">
        <v>402403</v>
      </c>
      <c r="M284" s="2">
        <v>12979</v>
      </c>
    </row>
    <row r="285" spans="1:13" ht="15.75" x14ac:dyDescent="0.25">
      <c r="A285" s="2" t="s">
        <v>429</v>
      </c>
      <c r="B285" s="2" t="s">
        <v>440</v>
      </c>
      <c r="C285" s="2">
        <v>3</v>
      </c>
      <c r="D285" s="2">
        <v>544</v>
      </c>
      <c r="E285" s="2" t="s">
        <v>161</v>
      </c>
      <c r="F285" s="2">
        <v>270000</v>
      </c>
      <c r="G285" s="2" t="s">
        <v>724</v>
      </c>
      <c r="H285" s="2" t="s">
        <v>725</v>
      </c>
      <c r="I285" s="5" t="s">
        <v>702</v>
      </c>
      <c r="J285" s="2" t="str">
        <f>VLOOKUP(M285,[1]Directorate!$A:$B,2,FALSE)</f>
        <v>IT Microsoft</v>
      </c>
      <c r="K285" s="6">
        <f>ROUND(9930.8,2)</f>
        <v>9930.7999999999993</v>
      </c>
      <c r="L285" s="2">
        <v>402010</v>
      </c>
      <c r="M285" s="2">
        <v>13091</v>
      </c>
    </row>
    <row r="286" spans="1:13" ht="15.75" x14ac:dyDescent="0.25">
      <c r="A286" s="2" t="s">
        <v>429</v>
      </c>
      <c r="B286" s="2" t="s">
        <v>440</v>
      </c>
      <c r="C286" s="2">
        <v>4</v>
      </c>
      <c r="D286" s="2">
        <v>544</v>
      </c>
      <c r="E286" s="2" t="s">
        <v>161</v>
      </c>
      <c r="F286" s="2">
        <v>270000</v>
      </c>
      <c r="G286" s="2" t="s">
        <v>724</v>
      </c>
      <c r="H286" s="2" t="s">
        <v>725</v>
      </c>
      <c r="I286" s="5" t="s">
        <v>702</v>
      </c>
      <c r="J286" s="2" t="str">
        <f>VLOOKUP(M286,[1]Directorate!$A:$B,2,FALSE)</f>
        <v>IT Microsoft</v>
      </c>
      <c r="K286" s="6">
        <f>ROUND(37.58,2)</f>
        <v>37.58</v>
      </c>
      <c r="L286" s="2">
        <v>402010</v>
      </c>
      <c r="M286" s="2">
        <v>13091</v>
      </c>
    </row>
    <row r="287" spans="1:13" ht="15.75" x14ac:dyDescent="0.25">
      <c r="A287" s="2" t="s">
        <v>429</v>
      </c>
      <c r="B287" s="2" t="s">
        <v>440</v>
      </c>
      <c r="C287" s="2">
        <v>5</v>
      </c>
      <c r="D287" s="2">
        <v>544</v>
      </c>
      <c r="E287" s="2" t="s">
        <v>161</v>
      </c>
      <c r="F287" s="2">
        <v>270000</v>
      </c>
      <c r="G287" s="2" t="s">
        <v>724</v>
      </c>
      <c r="H287" s="2" t="s">
        <v>725</v>
      </c>
      <c r="I287" s="5" t="s">
        <v>702</v>
      </c>
      <c r="J287" s="2" t="str">
        <f>VLOOKUP(M287,[1]Directorate!$A:$B,2,FALSE)</f>
        <v>IT Microsoft</v>
      </c>
      <c r="K287" s="6">
        <f>ROUND(6841.35,2)</f>
        <v>6841.35</v>
      </c>
      <c r="L287" s="2">
        <v>402010</v>
      </c>
      <c r="M287" s="2">
        <v>13091</v>
      </c>
    </row>
    <row r="288" spans="1:13" ht="15.75" x14ac:dyDescent="0.25">
      <c r="A288" s="2" t="s">
        <v>429</v>
      </c>
      <c r="B288" s="2" t="s">
        <v>440</v>
      </c>
      <c r="C288" s="2">
        <v>6</v>
      </c>
      <c r="D288" s="2">
        <v>544</v>
      </c>
      <c r="E288" s="2" t="s">
        <v>161</v>
      </c>
      <c r="F288" s="2">
        <v>270000</v>
      </c>
      <c r="G288" s="2" t="s">
        <v>724</v>
      </c>
      <c r="H288" s="2" t="s">
        <v>725</v>
      </c>
      <c r="I288" s="5" t="s">
        <v>702</v>
      </c>
      <c r="J288" s="2" t="str">
        <f>VLOOKUP(M288,[1]Directorate!$A:$B,2,FALSE)</f>
        <v>IT Microsoft</v>
      </c>
      <c r="K288" s="6">
        <f>ROUND(13549.8,2)</f>
        <v>13549.8</v>
      </c>
      <c r="L288" s="2">
        <v>402010</v>
      </c>
      <c r="M288" s="2">
        <v>13091</v>
      </c>
    </row>
    <row r="289" spans="1:13" ht="15.75" x14ac:dyDescent="0.25">
      <c r="A289" s="2" t="s">
        <v>429</v>
      </c>
      <c r="B289" s="2" t="s">
        <v>440</v>
      </c>
      <c r="C289" s="2">
        <v>7</v>
      </c>
      <c r="D289" s="2">
        <v>544</v>
      </c>
      <c r="E289" s="2" t="s">
        <v>161</v>
      </c>
      <c r="F289" s="2">
        <v>270000</v>
      </c>
      <c r="G289" s="2" t="s">
        <v>724</v>
      </c>
      <c r="H289" s="2" t="s">
        <v>725</v>
      </c>
      <c r="I289" s="5" t="s">
        <v>702</v>
      </c>
      <c r="J289" s="2" t="str">
        <f>VLOOKUP(M289,[1]Directorate!$A:$B,2,FALSE)</f>
        <v>IT Microsoft</v>
      </c>
      <c r="K289" s="6">
        <f>ROUND(1993.8,2)</f>
        <v>1993.8</v>
      </c>
      <c r="L289" s="2">
        <v>402010</v>
      </c>
      <c r="M289" s="2">
        <v>13091</v>
      </c>
    </row>
    <row r="290" spans="1:13" ht="15.75" x14ac:dyDescent="0.25">
      <c r="A290" s="2" t="s">
        <v>429</v>
      </c>
      <c r="B290" s="2" t="s">
        <v>440</v>
      </c>
      <c r="C290" s="2">
        <v>8</v>
      </c>
      <c r="D290" s="2">
        <v>544</v>
      </c>
      <c r="E290" s="2" t="s">
        <v>161</v>
      </c>
      <c r="F290" s="2">
        <v>270000</v>
      </c>
      <c r="G290" s="2" t="s">
        <v>724</v>
      </c>
      <c r="H290" s="2" t="s">
        <v>725</v>
      </c>
      <c r="I290" s="5" t="s">
        <v>702</v>
      </c>
      <c r="J290" s="2" t="str">
        <f>VLOOKUP(M290,[1]Directorate!$A:$B,2,FALSE)</f>
        <v>IT Microsoft</v>
      </c>
      <c r="K290" s="6">
        <f>ROUND(11925.9,2)</f>
        <v>11925.9</v>
      </c>
      <c r="L290" s="2">
        <v>402010</v>
      </c>
      <c r="M290" s="2">
        <v>13091</v>
      </c>
    </row>
    <row r="291" spans="1:13" ht="15.75" x14ac:dyDescent="0.25">
      <c r="A291" s="2" t="s">
        <v>429</v>
      </c>
      <c r="B291" s="2" t="s">
        <v>440</v>
      </c>
      <c r="C291" s="2">
        <v>9</v>
      </c>
      <c r="D291" s="2">
        <v>544</v>
      </c>
      <c r="E291" s="2" t="s">
        <v>161</v>
      </c>
      <c r="F291" s="2">
        <v>270000</v>
      </c>
      <c r="G291" s="2" t="s">
        <v>724</v>
      </c>
      <c r="H291" s="2" t="s">
        <v>725</v>
      </c>
      <c r="I291" s="5" t="s">
        <v>702</v>
      </c>
      <c r="J291" s="2" t="str">
        <f>VLOOKUP(M291,[1]Directorate!$A:$B,2,FALSE)</f>
        <v>IT Microsoft</v>
      </c>
      <c r="K291" s="6">
        <f>ROUND(80.28,2)</f>
        <v>80.28</v>
      </c>
      <c r="L291" s="2">
        <v>402010</v>
      </c>
      <c r="M291" s="2">
        <v>13091</v>
      </c>
    </row>
    <row r="292" spans="1:13" ht="15.75" x14ac:dyDescent="0.25">
      <c r="A292" s="2" t="s">
        <v>429</v>
      </c>
      <c r="B292" s="2" t="s">
        <v>440</v>
      </c>
      <c r="C292" s="2">
        <v>10</v>
      </c>
      <c r="D292" s="2">
        <v>544</v>
      </c>
      <c r="E292" s="2" t="s">
        <v>161</v>
      </c>
      <c r="F292" s="2">
        <v>270000</v>
      </c>
      <c r="G292" s="2" t="s">
        <v>724</v>
      </c>
      <c r="H292" s="2" t="s">
        <v>725</v>
      </c>
      <c r="I292" s="5" t="s">
        <v>702</v>
      </c>
      <c r="J292" s="2" t="str">
        <f>VLOOKUP(M292,[1]Directorate!$A:$B,2,FALSE)</f>
        <v>IT Microsoft</v>
      </c>
      <c r="K292" s="6">
        <f>ROUND(3011,2)</f>
        <v>3011</v>
      </c>
      <c r="L292" s="2">
        <v>402010</v>
      </c>
      <c r="M292" s="2">
        <v>13091</v>
      </c>
    </row>
    <row r="293" spans="1:13" ht="15.75" x14ac:dyDescent="0.25">
      <c r="A293" s="2" t="s">
        <v>429</v>
      </c>
      <c r="B293" s="2" t="s">
        <v>440</v>
      </c>
      <c r="C293" s="2">
        <v>11</v>
      </c>
      <c r="D293" s="2">
        <v>544</v>
      </c>
      <c r="E293" s="2" t="s">
        <v>161</v>
      </c>
      <c r="F293" s="2">
        <v>270000</v>
      </c>
      <c r="G293" s="2" t="s">
        <v>724</v>
      </c>
      <c r="H293" s="2" t="s">
        <v>725</v>
      </c>
      <c r="I293" s="5" t="s">
        <v>702</v>
      </c>
      <c r="J293" s="2" t="str">
        <f>VLOOKUP(M293,[1]Directorate!$A:$B,2,FALSE)</f>
        <v>IT Microsoft</v>
      </c>
      <c r="K293" s="6">
        <f>ROUND(1358788.88,2)</f>
        <v>1358788.88</v>
      </c>
      <c r="L293" s="2">
        <v>402010</v>
      </c>
      <c r="M293" s="2">
        <v>13091</v>
      </c>
    </row>
    <row r="294" spans="1:13" ht="15.75" x14ac:dyDescent="0.25">
      <c r="A294" s="2" t="s">
        <v>429</v>
      </c>
      <c r="B294" s="2" t="s">
        <v>440</v>
      </c>
      <c r="C294" s="2">
        <v>12</v>
      </c>
      <c r="D294" s="2">
        <v>544</v>
      </c>
      <c r="E294" s="2" t="s">
        <v>161</v>
      </c>
      <c r="F294" s="2">
        <v>270000</v>
      </c>
      <c r="G294" s="2" t="s">
        <v>724</v>
      </c>
      <c r="H294" s="2" t="s">
        <v>725</v>
      </c>
      <c r="I294" s="5" t="s">
        <v>702</v>
      </c>
      <c r="J294" s="2" t="str">
        <f>VLOOKUP(M294,[1]Directorate!$A:$B,2,FALSE)</f>
        <v>IT Microsoft</v>
      </c>
      <c r="K294" s="6">
        <f>ROUND(3011,2)</f>
        <v>3011</v>
      </c>
      <c r="L294" s="2">
        <v>402010</v>
      </c>
      <c r="M294" s="2">
        <v>13091</v>
      </c>
    </row>
    <row r="295" spans="1:13" ht="15.75" x14ac:dyDescent="0.25">
      <c r="A295" s="2" t="s">
        <v>429</v>
      </c>
      <c r="B295" s="2" t="s">
        <v>440</v>
      </c>
      <c r="C295" s="2">
        <v>13</v>
      </c>
      <c r="D295" s="2">
        <v>544</v>
      </c>
      <c r="E295" s="2" t="s">
        <v>161</v>
      </c>
      <c r="F295" s="2">
        <v>270000</v>
      </c>
      <c r="G295" s="2" t="s">
        <v>724</v>
      </c>
      <c r="H295" s="2" t="s">
        <v>725</v>
      </c>
      <c r="I295" s="5" t="s">
        <v>702</v>
      </c>
      <c r="J295" s="2" t="str">
        <f>VLOOKUP(M295,[1]Directorate!$A:$B,2,FALSE)</f>
        <v>IT Microsoft</v>
      </c>
      <c r="K295" s="6">
        <f>ROUND(28328,2)</f>
        <v>28328</v>
      </c>
      <c r="L295" s="2">
        <v>402010</v>
      </c>
      <c r="M295" s="2">
        <v>13091</v>
      </c>
    </row>
    <row r="296" spans="1:13" ht="15.75" x14ac:dyDescent="0.25">
      <c r="A296" s="2" t="s">
        <v>429</v>
      </c>
      <c r="B296" s="2" t="s">
        <v>440</v>
      </c>
      <c r="C296" s="2">
        <v>14</v>
      </c>
      <c r="D296" s="2">
        <v>544</v>
      </c>
      <c r="E296" s="2" t="s">
        <v>161</v>
      </c>
      <c r="F296" s="2">
        <v>270000</v>
      </c>
      <c r="G296" s="2" t="s">
        <v>724</v>
      </c>
      <c r="H296" s="2" t="s">
        <v>725</v>
      </c>
      <c r="I296" s="5" t="s">
        <v>702</v>
      </c>
      <c r="J296" s="2" t="str">
        <f>VLOOKUP(M296,[1]Directorate!$A:$B,2,FALSE)</f>
        <v>IT Microsoft</v>
      </c>
      <c r="K296" s="6">
        <f>ROUND(7179,2)</f>
        <v>7179</v>
      </c>
      <c r="L296" s="2">
        <v>402010</v>
      </c>
      <c r="M296" s="2">
        <v>13091</v>
      </c>
    </row>
    <row r="297" spans="1:13" ht="15.75" x14ac:dyDescent="0.25">
      <c r="A297" s="2" t="s">
        <v>429</v>
      </c>
      <c r="B297" s="2" t="s">
        <v>440</v>
      </c>
      <c r="C297" s="2">
        <v>15</v>
      </c>
      <c r="D297" s="2">
        <v>544</v>
      </c>
      <c r="E297" s="2" t="s">
        <v>161</v>
      </c>
      <c r="F297" s="2">
        <v>270000</v>
      </c>
      <c r="G297" s="2" t="s">
        <v>724</v>
      </c>
      <c r="H297" s="2" t="s">
        <v>725</v>
      </c>
      <c r="I297" s="5" t="s">
        <v>702</v>
      </c>
      <c r="J297" s="2" t="str">
        <f>VLOOKUP(M297,[1]Directorate!$A:$B,2,FALSE)</f>
        <v>IT Microsoft</v>
      </c>
      <c r="K297" s="6">
        <f>ROUND(212050.8,2)</f>
        <v>212050.8</v>
      </c>
      <c r="L297" s="2">
        <v>402010</v>
      </c>
      <c r="M297" s="2">
        <v>13091</v>
      </c>
    </row>
    <row r="298" spans="1:13" ht="15.75" x14ac:dyDescent="0.25">
      <c r="A298" s="2" t="s">
        <v>429</v>
      </c>
      <c r="B298" s="2" t="s">
        <v>440</v>
      </c>
      <c r="C298" s="2">
        <v>16</v>
      </c>
      <c r="D298" s="2">
        <v>544</v>
      </c>
      <c r="E298" s="2" t="s">
        <v>161</v>
      </c>
      <c r="F298" s="2">
        <v>270000</v>
      </c>
      <c r="G298" s="2" t="s">
        <v>724</v>
      </c>
      <c r="H298" s="2" t="s">
        <v>725</v>
      </c>
      <c r="I298" s="5" t="s">
        <v>702</v>
      </c>
      <c r="J298" s="2" t="str">
        <f>VLOOKUP(M298,[1]Directorate!$A:$B,2,FALSE)</f>
        <v>IT Microsoft</v>
      </c>
      <c r="K298" s="6">
        <f>ROUND(1004.13,2)</f>
        <v>1004.13</v>
      </c>
      <c r="L298" s="2">
        <v>402010</v>
      </c>
      <c r="M298" s="2">
        <v>13091</v>
      </c>
    </row>
    <row r="299" spans="1:13" ht="15.75" x14ac:dyDescent="0.25">
      <c r="A299" s="2" t="s">
        <v>429</v>
      </c>
      <c r="B299" s="2" t="s">
        <v>440</v>
      </c>
      <c r="C299" s="2">
        <v>17</v>
      </c>
      <c r="D299" s="2">
        <v>544</v>
      </c>
      <c r="E299" s="2" t="s">
        <v>161</v>
      </c>
      <c r="F299" s="2">
        <v>270000</v>
      </c>
      <c r="G299" s="2" t="s">
        <v>724</v>
      </c>
      <c r="H299" s="2" t="s">
        <v>725</v>
      </c>
      <c r="I299" s="5" t="s">
        <v>702</v>
      </c>
      <c r="J299" s="2" t="str">
        <f>VLOOKUP(M299,[1]Directorate!$A:$B,2,FALSE)</f>
        <v>IT Microsoft</v>
      </c>
      <c r="K299" s="6">
        <f>ROUND(90,2)</f>
        <v>90</v>
      </c>
      <c r="L299" s="2">
        <v>402010</v>
      </c>
      <c r="M299" s="2">
        <v>13091</v>
      </c>
    </row>
    <row r="300" spans="1:13" ht="15.75" x14ac:dyDescent="0.25">
      <c r="A300" s="2" t="s">
        <v>429</v>
      </c>
      <c r="B300" s="2" t="s">
        <v>440</v>
      </c>
      <c r="C300" s="2">
        <v>18</v>
      </c>
      <c r="D300" s="2">
        <v>544</v>
      </c>
      <c r="E300" s="2" t="s">
        <v>161</v>
      </c>
      <c r="F300" s="2">
        <v>270000</v>
      </c>
      <c r="G300" s="2" t="s">
        <v>724</v>
      </c>
      <c r="H300" s="2" t="s">
        <v>725</v>
      </c>
      <c r="I300" s="5" t="s">
        <v>702</v>
      </c>
      <c r="J300" s="2" t="str">
        <f>VLOOKUP(M300,[1]Directorate!$A:$B,2,FALSE)</f>
        <v>IT Microsoft</v>
      </c>
      <c r="K300" s="6">
        <f>ROUND(3060,2)</f>
        <v>3060</v>
      </c>
      <c r="L300" s="2">
        <v>402010</v>
      </c>
      <c r="M300" s="2">
        <v>13091</v>
      </c>
    </row>
    <row r="301" spans="1:13" ht="15.75" x14ac:dyDescent="0.25">
      <c r="A301" s="2" t="s">
        <v>429</v>
      </c>
      <c r="B301" s="2" t="s">
        <v>440</v>
      </c>
      <c r="C301" s="2">
        <v>19</v>
      </c>
      <c r="D301" s="2">
        <v>544</v>
      </c>
      <c r="E301" s="2" t="s">
        <v>161</v>
      </c>
      <c r="F301" s="2">
        <v>270000</v>
      </c>
      <c r="G301" s="2" t="s">
        <v>724</v>
      </c>
      <c r="H301" s="2" t="s">
        <v>725</v>
      </c>
      <c r="I301" s="5" t="s">
        <v>702</v>
      </c>
      <c r="J301" s="2" t="str">
        <f>VLOOKUP(M301,[1]Directorate!$A:$B,2,FALSE)</f>
        <v>IT Microsoft</v>
      </c>
      <c r="K301" s="6">
        <f>ROUND(23940,2)</f>
        <v>23940</v>
      </c>
      <c r="L301" s="2">
        <v>402010</v>
      </c>
      <c r="M301" s="2">
        <v>13091</v>
      </c>
    </row>
    <row r="302" spans="1:13" ht="15.75" x14ac:dyDescent="0.25">
      <c r="A302" s="2" t="s">
        <v>444</v>
      </c>
      <c r="B302" s="2" t="s">
        <v>443</v>
      </c>
      <c r="C302" s="2">
        <v>1</v>
      </c>
      <c r="D302" s="2">
        <v>11973</v>
      </c>
      <c r="E302" s="2" t="s">
        <v>445</v>
      </c>
      <c r="F302" s="2">
        <v>230000</v>
      </c>
      <c r="G302" s="2" t="s">
        <v>756</v>
      </c>
      <c r="H302" s="2" t="s">
        <v>757</v>
      </c>
      <c r="I302" s="7" t="s">
        <v>714</v>
      </c>
      <c r="J302" s="2" t="e">
        <f>VLOOKUP(M302,[1]Directorate!$A:$B,2,FALSE)</f>
        <v>#N/A</v>
      </c>
      <c r="K302" s="6">
        <f>ROUND(5965.43,2)</f>
        <v>5965.43</v>
      </c>
      <c r="L302" s="2">
        <v>202055</v>
      </c>
      <c r="M302" s="2" t="s">
        <v>446</v>
      </c>
    </row>
    <row r="303" spans="1:13" ht="15.75" x14ac:dyDescent="0.25">
      <c r="A303" s="2" t="s">
        <v>444</v>
      </c>
      <c r="B303" s="2" t="s">
        <v>464</v>
      </c>
      <c r="C303" s="2">
        <v>1</v>
      </c>
      <c r="D303" s="2">
        <v>757</v>
      </c>
      <c r="E303" s="2" t="s">
        <v>67</v>
      </c>
      <c r="F303" s="2">
        <v>999999</v>
      </c>
      <c r="G303" s="2" t="s">
        <v>715</v>
      </c>
      <c r="H303" s="2" t="s">
        <v>715</v>
      </c>
      <c r="I303" s="7" t="s">
        <v>714</v>
      </c>
      <c r="J303" s="2" t="e">
        <f>VLOOKUP(M303,[1]Directorate!$A:$B,2,FALSE)</f>
        <v>#N/A</v>
      </c>
      <c r="K303" s="6">
        <f>ROUND(6000,2)</f>
        <v>6000</v>
      </c>
      <c r="L303" s="2">
        <v>401035</v>
      </c>
      <c r="M303" s="2" t="s">
        <v>465</v>
      </c>
    </row>
    <row r="304" spans="1:13" ht="15.75" x14ac:dyDescent="0.25">
      <c r="A304" s="2" t="s">
        <v>444</v>
      </c>
      <c r="B304" s="2" t="s">
        <v>466</v>
      </c>
      <c r="C304" s="2">
        <v>1</v>
      </c>
      <c r="D304" s="2">
        <v>35</v>
      </c>
      <c r="E304" s="2" t="s">
        <v>22</v>
      </c>
      <c r="F304" s="2">
        <v>181800</v>
      </c>
      <c r="G304" s="2" t="s">
        <v>706</v>
      </c>
      <c r="H304" s="2" t="s">
        <v>707</v>
      </c>
      <c r="I304" s="5" t="s">
        <v>702</v>
      </c>
      <c r="J304" s="2" t="str">
        <f>VLOOKUP(M304,[1]Directorate!$A:$B,2,FALSE)</f>
        <v>IT AVA Non - SLA</v>
      </c>
      <c r="K304" s="6">
        <f>ROUND(6500,2)</f>
        <v>6500</v>
      </c>
      <c r="L304" s="2">
        <v>400110</v>
      </c>
      <c r="M304" s="2">
        <v>13001</v>
      </c>
    </row>
    <row r="305" spans="1:13" ht="15.75" x14ac:dyDescent="0.25">
      <c r="A305" s="2" t="s">
        <v>444</v>
      </c>
      <c r="B305" s="2" t="s">
        <v>469</v>
      </c>
      <c r="C305" s="2">
        <v>1</v>
      </c>
      <c r="D305" s="2">
        <v>5835</v>
      </c>
      <c r="E305" s="2" t="s">
        <v>470</v>
      </c>
      <c r="F305" s="2">
        <v>230000</v>
      </c>
      <c r="G305" s="2" t="s">
        <v>756</v>
      </c>
      <c r="H305" s="2" t="s">
        <v>757</v>
      </c>
      <c r="I305" s="7" t="s">
        <v>714</v>
      </c>
      <c r="J305" s="2" t="e">
        <f>VLOOKUP(M305,[1]Directorate!$A:$B,2,FALSE)</f>
        <v>#N/A</v>
      </c>
      <c r="K305" s="6">
        <f>ROUND(30296.09,2)</f>
        <v>30296.09</v>
      </c>
      <c r="L305" s="2">
        <v>202055</v>
      </c>
      <c r="M305" s="2" t="s">
        <v>132</v>
      </c>
    </row>
    <row r="306" spans="1:13" ht="15.75" x14ac:dyDescent="0.25">
      <c r="A306" s="2" t="s">
        <v>444</v>
      </c>
      <c r="B306" s="2" t="s">
        <v>471</v>
      </c>
      <c r="C306" s="2">
        <v>1</v>
      </c>
      <c r="D306" s="2">
        <v>2039</v>
      </c>
      <c r="E306" s="2" t="s">
        <v>472</v>
      </c>
      <c r="F306" s="2">
        <v>320000</v>
      </c>
      <c r="G306" s="2" t="s">
        <v>741</v>
      </c>
      <c r="H306" s="2" t="s">
        <v>742</v>
      </c>
      <c r="I306" s="5" t="s">
        <v>702</v>
      </c>
      <c r="J306" s="2" t="str">
        <f>VLOOKUP(M306,[1]Directorate!$A:$B,2,FALSE)</f>
        <v>Com. Invest Fund</v>
      </c>
      <c r="K306" s="6">
        <f>ROUND(15116,2)</f>
        <v>15116</v>
      </c>
      <c r="L306" s="2">
        <v>402403</v>
      </c>
      <c r="M306" s="2">
        <v>12979</v>
      </c>
    </row>
    <row r="307" spans="1:13" ht="15.75" x14ac:dyDescent="0.25">
      <c r="A307" s="2" t="s">
        <v>444</v>
      </c>
      <c r="B307" s="2" t="s">
        <v>473</v>
      </c>
      <c r="C307" s="2">
        <v>1</v>
      </c>
      <c r="D307" s="2">
        <v>12445</v>
      </c>
      <c r="E307" s="2" t="s">
        <v>108</v>
      </c>
      <c r="F307" s="2">
        <v>270000</v>
      </c>
      <c r="G307" s="2" t="s">
        <v>724</v>
      </c>
      <c r="H307" s="2" t="s">
        <v>725</v>
      </c>
      <c r="I307" s="5" t="s">
        <v>714</v>
      </c>
      <c r="J307" s="2" t="str">
        <f>VLOOKUP(M307,[1]Directorate!$A:$B,2,FALSE)</f>
        <v>Car Parks Admin</v>
      </c>
      <c r="K307" s="6">
        <f>ROUND(6654,2)</f>
        <v>6654</v>
      </c>
      <c r="L307" s="2">
        <v>402001</v>
      </c>
      <c r="M307" s="2">
        <v>10005</v>
      </c>
    </row>
    <row r="308" spans="1:13" ht="15.75" x14ac:dyDescent="0.25">
      <c r="A308" s="2" t="s">
        <v>444</v>
      </c>
      <c r="B308" s="2" t="s">
        <v>474</v>
      </c>
      <c r="C308" s="2">
        <v>1</v>
      </c>
      <c r="D308" s="2">
        <v>6748</v>
      </c>
      <c r="E308" s="2" t="s">
        <v>11</v>
      </c>
      <c r="F308" s="2">
        <v>390000</v>
      </c>
      <c r="G308" s="2" t="s">
        <v>713</v>
      </c>
      <c r="H308" s="2" t="s">
        <v>713</v>
      </c>
      <c r="I308" s="7" t="s">
        <v>714</v>
      </c>
      <c r="J308" s="2" t="e">
        <f>VLOOKUP(M308,[1]Directorate!$A:$B,2,FALSE)</f>
        <v>#N/A</v>
      </c>
      <c r="K308" s="6">
        <f>ROUND(20664.21,2)</f>
        <v>20664.21</v>
      </c>
      <c r="L308" s="2">
        <v>401600</v>
      </c>
      <c r="M308" s="2" t="s">
        <v>245</v>
      </c>
    </row>
    <row r="309" spans="1:13" ht="15.75" x14ac:dyDescent="0.25">
      <c r="A309" s="2" t="s">
        <v>444</v>
      </c>
      <c r="B309" s="2" t="s">
        <v>475</v>
      </c>
      <c r="C309" s="2">
        <v>1</v>
      </c>
      <c r="D309" s="2">
        <v>14669</v>
      </c>
      <c r="E309" s="2" t="s">
        <v>129</v>
      </c>
      <c r="F309" s="2">
        <v>390000</v>
      </c>
      <c r="G309" s="2" t="s">
        <v>713</v>
      </c>
      <c r="H309" s="2" t="s">
        <v>713</v>
      </c>
      <c r="I309" s="7" t="s">
        <v>714</v>
      </c>
      <c r="J309" s="2" t="e">
        <f>VLOOKUP(M309,[1]Directorate!$A:$B,2,FALSE)</f>
        <v>#N/A</v>
      </c>
      <c r="K309" s="6">
        <f>ROUND(8591.06,2)</f>
        <v>8591.06</v>
      </c>
      <c r="L309" s="2">
        <v>401600</v>
      </c>
      <c r="M309" s="2" t="s">
        <v>245</v>
      </c>
    </row>
    <row r="310" spans="1:13" ht="15.75" x14ac:dyDescent="0.25">
      <c r="A310" s="2" t="s">
        <v>444</v>
      </c>
      <c r="B310" s="2" t="s">
        <v>466</v>
      </c>
      <c r="C310" s="2">
        <v>2</v>
      </c>
      <c r="D310" s="2">
        <v>35</v>
      </c>
      <c r="E310" s="2" t="s">
        <v>22</v>
      </c>
      <c r="F310" s="2">
        <v>181800</v>
      </c>
      <c r="G310" s="2" t="s">
        <v>706</v>
      </c>
      <c r="H310" s="2" t="s">
        <v>707</v>
      </c>
      <c r="I310" s="5" t="s">
        <v>702</v>
      </c>
      <c r="J310" s="2" t="str">
        <f>VLOOKUP(M310,[1]Directorate!$A:$B,2,FALSE)</f>
        <v>IT AVA Non - SLA</v>
      </c>
      <c r="K310" s="6">
        <f>ROUND(1100,2)</f>
        <v>1100</v>
      </c>
      <c r="L310" s="2">
        <v>400110</v>
      </c>
      <c r="M310" s="2">
        <v>13001</v>
      </c>
    </row>
    <row r="311" spans="1:13" ht="15.75" x14ac:dyDescent="0.25">
      <c r="A311" s="2" t="s">
        <v>406</v>
      </c>
      <c r="B311" s="2" t="s">
        <v>447</v>
      </c>
      <c r="C311" s="2">
        <v>1</v>
      </c>
      <c r="D311" s="2">
        <v>8174</v>
      </c>
      <c r="E311" s="2" t="s">
        <v>448</v>
      </c>
      <c r="F311" s="2">
        <v>300000</v>
      </c>
      <c r="G311" s="2" t="s">
        <v>709</v>
      </c>
      <c r="H311" s="2" t="s">
        <v>710</v>
      </c>
      <c r="I311" s="5" t="s">
        <v>702</v>
      </c>
      <c r="J311" s="2" t="str">
        <f>VLOOKUP(M311,[1]Directorate!$A:$B,2,FALSE)</f>
        <v>Mailroom Service</v>
      </c>
      <c r="K311" s="6">
        <f>ROUND(5214,2)</f>
        <v>5214</v>
      </c>
      <c r="L311" s="2">
        <v>400711</v>
      </c>
      <c r="M311" s="2">
        <v>11152</v>
      </c>
    </row>
    <row r="312" spans="1:13" ht="15.75" x14ac:dyDescent="0.25">
      <c r="A312" s="2" t="s">
        <v>406</v>
      </c>
      <c r="B312" s="2" t="s">
        <v>476</v>
      </c>
      <c r="C312" s="2">
        <v>1</v>
      </c>
      <c r="D312" s="2">
        <v>11417</v>
      </c>
      <c r="E312" s="2" t="s">
        <v>477</v>
      </c>
      <c r="F312" s="2">
        <v>999999</v>
      </c>
      <c r="G312" s="2" t="s">
        <v>715</v>
      </c>
      <c r="H312" s="2" t="s">
        <v>715</v>
      </c>
      <c r="I312" s="5" t="s">
        <v>705</v>
      </c>
      <c r="J312" s="2" t="str">
        <f>VLOOKUP(M312,[1]Directorate!$A:$B,2,FALSE)</f>
        <v>RAA - ASF Grant</v>
      </c>
      <c r="K312" s="6">
        <f>ROUND(6700,2)</f>
        <v>6700</v>
      </c>
      <c r="L312" s="2">
        <v>401035</v>
      </c>
      <c r="M312" s="2">
        <v>12968</v>
      </c>
    </row>
    <row r="313" spans="1:13" ht="15.75" x14ac:dyDescent="0.25">
      <c r="A313" s="2" t="s">
        <v>406</v>
      </c>
      <c r="B313" s="2" t="s">
        <v>479</v>
      </c>
      <c r="C313" s="2">
        <v>1</v>
      </c>
      <c r="D313" s="2">
        <v>4272</v>
      </c>
      <c r="E313" s="2" t="s">
        <v>56</v>
      </c>
      <c r="F313" s="2">
        <v>270000</v>
      </c>
      <c r="G313" s="2" t="s">
        <v>724</v>
      </c>
      <c r="H313" s="2" t="s">
        <v>725</v>
      </c>
      <c r="I313" s="5" t="s">
        <v>702</v>
      </c>
      <c r="J313" s="2" t="str">
        <f>VLOOKUP(M313,[1]Directorate!$A:$B,2,FALSE)</f>
        <v>Legal Services</v>
      </c>
      <c r="K313" s="6">
        <f>ROUND(35378.44,2)</f>
        <v>35378.44</v>
      </c>
      <c r="L313" s="2">
        <v>402001</v>
      </c>
      <c r="M313" s="2">
        <v>11117</v>
      </c>
    </row>
    <row r="314" spans="1:13" ht="15.75" x14ac:dyDescent="0.25">
      <c r="A314" s="2" t="s">
        <v>423</v>
      </c>
      <c r="B314" s="2" t="s">
        <v>422</v>
      </c>
      <c r="C314" s="2">
        <v>1</v>
      </c>
      <c r="D314" s="2">
        <v>5464</v>
      </c>
      <c r="E314" s="2" t="s">
        <v>420</v>
      </c>
      <c r="F314" s="2">
        <v>230000</v>
      </c>
      <c r="G314" s="2" t="s">
        <v>756</v>
      </c>
      <c r="H314" s="2" t="s">
        <v>757</v>
      </c>
      <c r="I314" s="7" t="s">
        <v>714</v>
      </c>
      <c r="J314" s="2" t="e">
        <f>VLOOKUP(M314,[1]Directorate!$A:$B,2,FALSE)</f>
        <v>#N/A</v>
      </c>
      <c r="K314" s="6">
        <f>ROUND(41943.36,2)</f>
        <v>41943.360000000001</v>
      </c>
      <c r="L314" s="2">
        <v>202055</v>
      </c>
      <c r="M314" s="2" t="s">
        <v>421</v>
      </c>
    </row>
    <row r="315" spans="1:13" ht="15.75" x14ac:dyDescent="0.25">
      <c r="A315" s="2" t="s">
        <v>423</v>
      </c>
      <c r="B315" s="2" t="s">
        <v>481</v>
      </c>
      <c r="C315" s="2">
        <v>1</v>
      </c>
      <c r="D315" s="2">
        <v>14890</v>
      </c>
      <c r="E315" s="2" t="s">
        <v>482</v>
      </c>
      <c r="F315" s="2">
        <v>270000</v>
      </c>
      <c r="G315" s="2" t="s">
        <v>724</v>
      </c>
      <c r="H315" s="2" t="s">
        <v>725</v>
      </c>
      <c r="I315" s="5" t="s">
        <v>714</v>
      </c>
      <c r="J315" s="2" t="str">
        <f>VLOOKUP(M315,[1]Directorate!$A:$B,2,FALSE)</f>
        <v>Property Client Acct</v>
      </c>
      <c r="K315" s="6">
        <f>ROUND(20911.6,2)</f>
        <v>20911.599999999999</v>
      </c>
      <c r="L315" s="2">
        <v>402001</v>
      </c>
      <c r="M315" s="2">
        <v>12328</v>
      </c>
    </row>
    <row r="316" spans="1:13" ht="15.75" x14ac:dyDescent="0.25">
      <c r="A316" s="2" t="s">
        <v>423</v>
      </c>
      <c r="B316" s="2" t="s">
        <v>484</v>
      </c>
      <c r="C316" s="2">
        <v>1</v>
      </c>
      <c r="D316" s="2">
        <v>10897</v>
      </c>
      <c r="E316" s="2" t="s">
        <v>21</v>
      </c>
      <c r="F316" s="2">
        <v>390000</v>
      </c>
      <c r="G316" s="2" t="s">
        <v>703</v>
      </c>
      <c r="H316" s="2" t="s">
        <v>704</v>
      </c>
      <c r="I316" s="5" t="s">
        <v>714</v>
      </c>
      <c r="J316" s="2" t="str">
        <f>VLOOKUP(M316,[1]Directorate!$A:$B,2,FALSE)</f>
        <v>SPB Operational Est.</v>
      </c>
      <c r="K316" s="6">
        <f>ROUND(30000,2)</f>
        <v>30000</v>
      </c>
      <c r="L316" s="2">
        <v>200101</v>
      </c>
      <c r="M316" s="2">
        <v>11662</v>
      </c>
    </row>
    <row r="317" spans="1:13" ht="15.75" x14ac:dyDescent="0.25">
      <c r="A317" s="2" t="s">
        <v>432</v>
      </c>
      <c r="B317" s="2" t="s">
        <v>487</v>
      </c>
      <c r="C317" s="2">
        <v>1</v>
      </c>
      <c r="D317" s="2">
        <v>4482</v>
      </c>
      <c r="E317" s="2" t="s">
        <v>122</v>
      </c>
      <c r="F317" s="2">
        <v>182000</v>
      </c>
      <c r="G317" s="2" t="s">
        <v>762</v>
      </c>
      <c r="H317" s="2" t="s">
        <v>763</v>
      </c>
      <c r="I317" s="5" t="s">
        <v>702</v>
      </c>
      <c r="J317" s="2" t="str">
        <f>VLOOKUP(M317,[1]Directorate!$A:$B,2,FALSE)</f>
        <v>Public Libraries Gen</v>
      </c>
      <c r="K317" s="6">
        <f>ROUND(6500,2)</f>
        <v>6500</v>
      </c>
      <c r="L317" s="2">
        <v>201803</v>
      </c>
      <c r="M317" s="2">
        <v>11329</v>
      </c>
    </row>
    <row r="318" spans="1:13" ht="15.75" x14ac:dyDescent="0.25">
      <c r="A318" s="2" t="s">
        <v>432</v>
      </c>
      <c r="B318" s="2" t="s">
        <v>490</v>
      </c>
      <c r="C318" s="2">
        <v>1</v>
      </c>
      <c r="D318" s="2">
        <v>16386</v>
      </c>
      <c r="E318" s="2" t="s">
        <v>491</v>
      </c>
      <c r="F318" s="2">
        <v>270000</v>
      </c>
      <c r="G318" s="2" t="s">
        <v>724</v>
      </c>
      <c r="H318" s="2" t="s">
        <v>725</v>
      </c>
      <c r="I318" s="5" t="s">
        <v>705</v>
      </c>
      <c r="J318" s="2" t="str">
        <f>VLOOKUP(M318,[1]Directorate!$A:$B,2,FALSE)</f>
        <v>AOM costs</v>
      </c>
      <c r="K318" s="6">
        <f>ROUND(9999,2)</f>
        <v>9999</v>
      </c>
      <c r="L318" s="2">
        <v>402002</v>
      </c>
      <c r="M318" s="2">
        <v>11878</v>
      </c>
    </row>
    <row r="319" spans="1:13" ht="15.75" x14ac:dyDescent="0.25">
      <c r="A319" s="2" t="s">
        <v>432</v>
      </c>
      <c r="B319" s="2" t="s">
        <v>492</v>
      </c>
      <c r="C319" s="2">
        <v>1</v>
      </c>
      <c r="D319" s="2">
        <v>1353</v>
      </c>
      <c r="E319" s="2" t="s">
        <v>493</v>
      </c>
      <c r="F319" s="2">
        <v>390000</v>
      </c>
      <c r="G319" s="2" t="s">
        <v>713</v>
      </c>
      <c r="H319" s="2" t="s">
        <v>713</v>
      </c>
      <c r="I319" s="7" t="s">
        <v>714</v>
      </c>
      <c r="J319" s="2" t="e">
        <f>VLOOKUP(M319,[1]Directorate!$A:$B,2,FALSE)</f>
        <v>#N/A</v>
      </c>
      <c r="K319" s="6">
        <f>ROUND(9703,2)</f>
        <v>9703</v>
      </c>
      <c r="L319" s="2">
        <v>401600</v>
      </c>
      <c r="M319" s="2" t="s">
        <v>494</v>
      </c>
    </row>
    <row r="320" spans="1:13" ht="15.75" x14ac:dyDescent="0.25">
      <c r="A320" s="2" t="s">
        <v>478</v>
      </c>
      <c r="B320" s="2" t="s">
        <v>496</v>
      </c>
      <c r="C320" s="2">
        <v>1</v>
      </c>
      <c r="D320" s="2">
        <v>2398</v>
      </c>
      <c r="E320" s="2" t="s">
        <v>45</v>
      </c>
      <c r="F320" s="2">
        <v>192200</v>
      </c>
      <c r="G320" s="2" t="s">
        <v>743</v>
      </c>
      <c r="H320" s="2" t="s">
        <v>744</v>
      </c>
      <c r="I320" s="5" t="s">
        <v>714</v>
      </c>
      <c r="J320" s="2" t="str">
        <f>VLOOKUP(M320,[1]Directorate!$A:$B,2,FALSE)</f>
        <v>Property Client Acct</v>
      </c>
      <c r="K320" s="6">
        <f>ROUND(5850,2)</f>
        <v>5850</v>
      </c>
      <c r="L320" s="2">
        <v>201204</v>
      </c>
      <c r="M320" s="2">
        <v>11137</v>
      </c>
    </row>
    <row r="321" spans="1:13" ht="15.75" x14ac:dyDescent="0.25">
      <c r="A321" s="2" t="s">
        <v>478</v>
      </c>
      <c r="B321" s="2" t="s">
        <v>498</v>
      </c>
      <c r="C321" s="2">
        <v>1</v>
      </c>
      <c r="D321" s="2">
        <v>14317</v>
      </c>
      <c r="E321" s="2" t="s">
        <v>91</v>
      </c>
      <c r="F321" s="2">
        <v>150000</v>
      </c>
      <c r="G321" s="2" t="s">
        <v>716</v>
      </c>
      <c r="H321" s="2" t="s">
        <v>717</v>
      </c>
      <c r="I321" s="7" t="s">
        <v>714</v>
      </c>
      <c r="J321" s="2" t="e">
        <f>VLOOKUP(M321,[1]Directorate!$A:$B,2,FALSE)</f>
        <v>#N/A</v>
      </c>
      <c r="K321" s="6">
        <f>ROUND(33862.5,2)</f>
        <v>33862.5</v>
      </c>
      <c r="L321" s="2">
        <v>401007</v>
      </c>
      <c r="M321" s="2" t="s">
        <v>499</v>
      </c>
    </row>
    <row r="322" spans="1:13" ht="15.75" x14ac:dyDescent="0.25">
      <c r="A322" s="2" t="s">
        <v>438</v>
      </c>
      <c r="B322" s="2" t="s">
        <v>458</v>
      </c>
      <c r="C322" s="2">
        <v>1</v>
      </c>
      <c r="D322" s="2">
        <v>9891</v>
      </c>
      <c r="E322" s="2" t="s">
        <v>459</v>
      </c>
      <c r="F322" s="2">
        <v>390000</v>
      </c>
      <c r="G322" s="2" t="s">
        <v>703</v>
      </c>
      <c r="H322" s="2" t="s">
        <v>715</v>
      </c>
      <c r="I322" s="5" t="s">
        <v>705</v>
      </c>
      <c r="J322" s="2" t="str">
        <f>VLOOKUP(M322,[1]Directorate!$A:$B,2,FALSE)</f>
        <v>RAA Adoption Count</v>
      </c>
      <c r="K322" s="6">
        <f>ROUND(50991.02,2)</f>
        <v>50991.02</v>
      </c>
      <c r="L322" s="2">
        <v>401017</v>
      </c>
      <c r="M322" s="2">
        <v>12957</v>
      </c>
    </row>
    <row r="323" spans="1:13" ht="15.75" x14ac:dyDescent="0.25">
      <c r="A323" s="2" t="s">
        <v>438</v>
      </c>
      <c r="B323" s="2" t="s">
        <v>488</v>
      </c>
      <c r="C323" s="2">
        <v>1</v>
      </c>
      <c r="D323" s="2">
        <v>7167</v>
      </c>
      <c r="E323" s="2" t="s">
        <v>489</v>
      </c>
      <c r="F323" s="2">
        <v>170000</v>
      </c>
      <c r="G323" s="2" t="s">
        <v>754</v>
      </c>
      <c r="H323" s="2" t="s">
        <v>755</v>
      </c>
      <c r="I323" s="5" t="s">
        <v>705</v>
      </c>
      <c r="J323" s="2" t="str">
        <f>VLOOKUP(M323,[1]Directorate!$A:$B,2,FALSE)</f>
        <v>SS-FreeSclTrans-Sec</v>
      </c>
      <c r="K323" s="6">
        <f>ROUND(7700,2)</f>
        <v>7700</v>
      </c>
      <c r="L323" s="2">
        <v>530102</v>
      </c>
      <c r="M323" s="2">
        <v>10430</v>
      </c>
    </row>
    <row r="324" spans="1:13" ht="15.75" x14ac:dyDescent="0.25">
      <c r="A324" s="2" t="s">
        <v>438</v>
      </c>
      <c r="B324" s="2" t="s">
        <v>500</v>
      </c>
      <c r="C324" s="2">
        <v>1</v>
      </c>
      <c r="D324" s="2">
        <v>12166</v>
      </c>
      <c r="E324" s="2" t="s">
        <v>501</v>
      </c>
      <c r="F324" s="2">
        <v>320000</v>
      </c>
      <c r="G324" s="2" t="s">
        <v>741</v>
      </c>
      <c r="H324" s="2" t="s">
        <v>761</v>
      </c>
      <c r="I324" s="5" t="s">
        <v>705</v>
      </c>
      <c r="J324" s="2" t="str">
        <f>VLOOKUP(M324,[1]Directorate!$A:$B,2,FALSE)</f>
        <v>RAA Adoption Count</v>
      </c>
      <c r="K324" s="6">
        <f>ROUND(43000,2)</f>
        <v>43000</v>
      </c>
      <c r="L324" s="2">
        <v>530306</v>
      </c>
      <c r="M324" s="2">
        <v>12957</v>
      </c>
    </row>
    <row r="325" spans="1:13" ht="15.75" x14ac:dyDescent="0.25">
      <c r="A325" s="2" t="s">
        <v>376</v>
      </c>
      <c r="B325" s="2" t="s">
        <v>514</v>
      </c>
      <c r="C325" s="2">
        <v>1</v>
      </c>
      <c r="D325" s="2">
        <v>15082</v>
      </c>
      <c r="E325" s="2" t="s">
        <v>355</v>
      </c>
      <c r="F325" s="2">
        <v>150000</v>
      </c>
      <c r="G325" s="2" t="s">
        <v>716</v>
      </c>
      <c r="H325" s="2" t="s">
        <v>717</v>
      </c>
      <c r="I325" s="5" t="s">
        <v>705</v>
      </c>
      <c r="J325" s="2" t="str">
        <f>VLOOKUP(M325,[1]Directorate!$A:$B,2,FALSE)</f>
        <v>PH-Physical Activity</v>
      </c>
      <c r="K325" s="6">
        <f>ROUND(25000,2)</f>
        <v>25000</v>
      </c>
      <c r="L325" s="2">
        <v>401020</v>
      </c>
      <c r="M325" s="2">
        <v>12834</v>
      </c>
    </row>
    <row r="326" spans="1:13" ht="15.75" x14ac:dyDescent="0.25">
      <c r="A326" s="2" t="s">
        <v>390</v>
      </c>
      <c r="B326" s="2" t="s">
        <v>408</v>
      </c>
      <c r="C326" s="2">
        <v>1</v>
      </c>
      <c r="D326" s="2">
        <v>7861</v>
      </c>
      <c r="E326" s="2" t="s">
        <v>66</v>
      </c>
      <c r="F326" s="2">
        <v>150000</v>
      </c>
      <c r="G326" s="2" t="s">
        <v>716</v>
      </c>
      <c r="H326" s="2" t="s">
        <v>717</v>
      </c>
      <c r="I326" s="5" t="s">
        <v>702</v>
      </c>
      <c r="J326" s="2" t="str">
        <f>VLOOKUP(M326,[1]Directorate!$A:$B,2,FALSE)</f>
        <v>Info, Advice &amp; Guide</v>
      </c>
      <c r="K326" s="6">
        <f>ROUND(47500,2)</f>
        <v>47500</v>
      </c>
      <c r="L326" s="2">
        <v>401020</v>
      </c>
      <c r="M326" s="2">
        <v>13006</v>
      </c>
    </row>
    <row r="327" spans="1:13" ht="15.75" x14ac:dyDescent="0.25">
      <c r="A327" s="2" t="s">
        <v>390</v>
      </c>
      <c r="B327" s="2" t="s">
        <v>508</v>
      </c>
      <c r="C327" s="2">
        <v>1</v>
      </c>
      <c r="D327" s="2">
        <v>3017</v>
      </c>
      <c r="E327" s="2" t="s">
        <v>509</v>
      </c>
      <c r="F327" s="2">
        <v>390000</v>
      </c>
      <c r="G327" s="2" t="s">
        <v>713</v>
      </c>
      <c r="H327" s="2" t="s">
        <v>713</v>
      </c>
      <c r="I327" s="7" t="s">
        <v>714</v>
      </c>
      <c r="J327" s="2" t="e">
        <f>VLOOKUP(M327,[1]Directorate!$A:$B,2,FALSE)</f>
        <v>#N/A</v>
      </c>
      <c r="K327" s="6">
        <f>ROUND(45931.46,2)</f>
        <v>45931.46</v>
      </c>
      <c r="L327" s="2">
        <v>401600</v>
      </c>
      <c r="M327" s="2" t="s">
        <v>510</v>
      </c>
    </row>
    <row r="328" spans="1:13" ht="15.75" x14ac:dyDescent="0.25">
      <c r="A328" s="2" t="s">
        <v>390</v>
      </c>
      <c r="B328" s="2" t="s">
        <v>516</v>
      </c>
      <c r="C328" s="2">
        <v>1</v>
      </c>
      <c r="D328" s="2">
        <v>35</v>
      </c>
      <c r="E328" s="2" t="s">
        <v>22</v>
      </c>
      <c r="F328" s="2">
        <v>270000</v>
      </c>
      <c r="G328" s="2" t="s">
        <v>724</v>
      </c>
      <c r="H328" s="2" t="s">
        <v>725</v>
      </c>
      <c r="I328" s="5" t="s">
        <v>702</v>
      </c>
      <c r="J328" s="2" t="str">
        <f>VLOOKUP(M328,[1]Directorate!$A:$B,2,FALSE)</f>
        <v>IT Infrastructure</v>
      </c>
      <c r="K328" s="6">
        <f>ROUND(1498.5,2)</f>
        <v>1498.5</v>
      </c>
      <c r="L328" s="2">
        <v>402001</v>
      </c>
      <c r="M328" s="2">
        <v>11324</v>
      </c>
    </row>
    <row r="329" spans="1:13" ht="15.75" x14ac:dyDescent="0.25">
      <c r="A329" s="2" t="s">
        <v>390</v>
      </c>
      <c r="B329" s="2" t="s">
        <v>517</v>
      </c>
      <c r="C329" s="2">
        <v>1</v>
      </c>
      <c r="D329" s="2">
        <v>1644</v>
      </c>
      <c r="E329" s="2" t="s">
        <v>155</v>
      </c>
      <c r="F329" s="2">
        <v>381600</v>
      </c>
      <c r="G329" s="2" t="s">
        <v>764</v>
      </c>
      <c r="H329" s="2" t="s">
        <v>765</v>
      </c>
      <c r="I329" s="5" t="s">
        <v>705</v>
      </c>
      <c r="J329" s="2" t="str">
        <f>VLOOKUP(M329,[1]Directorate!$A:$B,2,FALSE)</f>
        <v>SEN Trans-Home to Sc</v>
      </c>
      <c r="K329" s="6">
        <f>ROUND(22800,2)</f>
        <v>22800</v>
      </c>
      <c r="L329" s="2">
        <v>300302</v>
      </c>
      <c r="M329" s="2">
        <v>10373</v>
      </c>
    </row>
    <row r="330" spans="1:13" ht="15.75" x14ac:dyDescent="0.25">
      <c r="A330" s="2" t="s">
        <v>390</v>
      </c>
      <c r="B330" s="2" t="s">
        <v>518</v>
      </c>
      <c r="C330" s="2">
        <v>1</v>
      </c>
      <c r="D330" s="2">
        <v>7889</v>
      </c>
      <c r="E330" s="2" t="s">
        <v>203</v>
      </c>
      <c r="F330" s="2">
        <v>390000</v>
      </c>
      <c r="G330" s="2" t="s">
        <v>703</v>
      </c>
      <c r="H330" s="2" t="s">
        <v>704</v>
      </c>
      <c r="I330" s="5" t="s">
        <v>714</v>
      </c>
      <c r="J330" s="2" t="str">
        <f>VLOOKUP(M330,[1]Directorate!$A:$B,2,FALSE)</f>
        <v>StockportArt Gallery</v>
      </c>
      <c r="K330" s="6">
        <f>ROUND(6160,2)</f>
        <v>6160</v>
      </c>
      <c r="L330" s="2">
        <v>200123</v>
      </c>
      <c r="M330" s="2">
        <v>11378</v>
      </c>
    </row>
    <row r="331" spans="1:13" ht="15.75" x14ac:dyDescent="0.25">
      <c r="A331" s="2" t="s">
        <v>390</v>
      </c>
      <c r="B331" s="2" t="s">
        <v>519</v>
      </c>
      <c r="C331" s="2">
        <v>1</v>
      </c>
      <c r="D331" s="2">
        <v>10107</v>
      </c>
      <c r="E331" s="2" t="s">
        <v>520</v>
      </c>
      <c r="F331" s="2">
        <v>270000</v>
      </c>
      <c r="G331" s="2" t="s">
        <v>724</v>
      </c>
      <c r="H331" s="2" t="s">
        <v>725</v>
      </c>
      <c r="I331" s="5" t="s">
        <v>714</v>
      </c>
      <c r="J331" s="2" t="str">
        <f>VLOOKUP(M331,[1]Directorate!$A:$B,2,FALSE)</f>
        <v>Car Parks Admin</v>
      </c>
      <c r="K331" s="6">
        <f>ROUND(4172.82,2)</f>
        <v>4172.82</v>
      </c>
      <c r="L331" s="2">
        <v>402001</v>
      </c>
      <c r="M331" s="2">
        <v>10005</v>
      </c>
    </row>
    <row r="332" spans="1:13" ht="15.75" x14ac:dyDescent="0.25">
      <c r="A332" s="2" t="s">
        <v>390</v>
      </c>
      <c r="B332" s="2" t="s">
        <v>516</v>
      </c>
      <c r="C332" s="2">
        <v>2</v>
      </c>
      <c r="D332" s="2">
        <v>35</v>
      </c>
      <c r="E332" s="2" t="s">
        <v>22</v>
      </c>
      <c r="F332" s="2">
        <v>270000</v>
      </c>
      <c r="G332" s="2" t="s">
        <v>724</v>
      </c>
      <c r="H332" s="2" t="s">
        <v>725</v>
      </c>
      <c r="I332" s="5" t="s">
        <v>702</v>
      </c>
      <c r="J332" s="2" t="str">
        <f>VLOOKUP(M332,[1]Directorate!$A:$B,2,FALSE)</f>
        <v>IT Infrastructure</v>
      </c>
      <c r="K332" s="6">
        <f>ROUND(1245,2)</f>
        <v>1245</v>
      </c>
      <c r="L332" s="2">
        <v>402001</v>
      </c>
      <c r="M332" s="2">
        <v>11324</v>
      </c>
    </row>
    <row r="333" spans="1:13" ht="15.75" x14ac:dyDescent="0.25">
      <c r="A333" s="2" t="s">
        <v>390</v>
      </c>
      <c r="B333" s="2" t="s">
        <v>518</v>
      </c>
      <c r="C333" s="2">
        <v>2</v>
      </c>
      <c r="D333" s="2">
        <v>7889</v>
      </c>
      <c r="E333" s="2" t="s">
        <v>203</v>
      </c>
      <c r="F333" s="2">
        <v>390000</v>
      </c>
      <c r="G333" s="2" t="s">
        <v>703</v>
      </c>
      <c r="H333" s="2" t="s">
        <v>704</v>
      </c>
      <c r="I333" s="5" t="s">
        <v>714</v>
      </c>
      <c r="J333" s="2" t="str">
        <f>VLOOKUP(M333,[1]Directorate!$A:$B,2,FALSE)</f>
        <v>StockportArt Gallery</v>
      </c>
      <c r="K333" s="6">
        <f>ROUND(6310,2)</f>
        <v>6310</v>
      </c>
      <c r="L333" s="2">
        <v>200123</v>
      </c>
      <c r="M333" s="2">
        <v>11378</v>
      </c>
    </row>
    <row r="334" spans="1:13" ht="15.75" x14ac:dyDescent="0.25">
      <c r="A334" s="2" t="s">
        <v>390</v>
      </c>
      <c r="B334" s="2" t="s">
        <v>519</v>
      </c>
      <c r="C334" s="2">
        <v>2</v>
      </c>
      <c r="D334" s="2">
        <v>10107</v>
      </c>
      <c r="E334" s="2" t="s">
        <v>520</v>
      </c>
      <c r="F334" s="2">
        <v>270000</v>
      </c>
      <c r="G334" s="2" t="s">
        <v>724</v>
      </c>
      <c r="H334" s="2" t="s">
        <v>725</v>
      </c>
      <c r="I334" s="5" t="s">
        <v>714</v>
      </c>
      <c r="J334" s="2" t="str">
        <f>VLOOKUP(M334,[1]Directorate!$A:$B,2,FALSE)</f>
        <v>Car Parks Admin</v>
      </c>
      <c r="K334" s="6">
        <f>ROUND(2750,2)</f>
        <v>2750</v>
      </c>
      <c r="L334" s="2">
        <v>402001</v>
      </c>
      <c r="M334" s="2">
        <v>10005</v>
      </c>
    </row>
    <row r="335" spans="1:13" ht="15.75" x14ac:dyDescent="0.25">
      <c r="A335" s="2" t="s">
        <v>390</v>
      </c>
      <c r="B335" s="2" t="s">
        <v>516</v>
      </c>
      <c r="C335" s="2">
        <v>3</v>
      </c>
      <c r="D335" s="2">
        <v>35</v>
      </c>
      <c r="E335" s="2" t="s">
        <v>22</v>
      </c>
      <c r="F335" s="2">
        <v>270000</v>
      </c>
      <c r="G335" s="2" t="s">
        <v>724</v>
      </c>
      <c r="H335" s="2" t="s">
        <v>725</v>
      </c>
      <c r="I335" s="5" t="s">
        <v>702</v>
      </c>
      <c r="J335" s="2" t="str">
        <f>VLOOKUP(M335,[1]Directorate!$A:$B,2,FALSE)</f>
        <v>IT Infrastructure</v>
      </c>
      <c r="K335" s="6">
        <f>ROUND(120,2)</f>
        <v>120</v>
      </c>
      <c r="L335" s="2">
        <v>402001</v>
      </c>
      <c r="M335" s="2">
        <v>11324</v>
      </c>
    </row>
    <row r="336" spans="1:13" ht="15.75" x14ac:dyDescent="0.25">
      <c r="A336" s="2" t="s">
        <v>390</v>
      </c>
      <c r="B336" s="2" t="s">
        <v>516</v>
      </c>
      <c r="C336" s="2">
        <v>4</v>
      </c>
      <c r="D336" s="2">
        <v>35</v>
      </c>
      <c r="E336" s="2" t="s">
        <v>22</v>
      </c>
      <c r="F336" s="2">
        <v>270000</v>
      </c>
      <c r="G336" s="2" t="s">
        <v>724</v>
      </c>
      <c r="H336" s="2" t="s">
        <v>725</v>
      </c>
      <c r="I336" s="5" t="s">
        <v>702</v>
      </c>
      <c r="J336" s="2" t="str">
        <f>VLOOKUP(M336,[1]Directorate!$A:$B,2,FALSE)</f>
        <v>IT Infrastructure</v>
      </c>
      <c r="K336" s="6">
        <f>ROUND(419.7,2)</f>
        <v>419.7</v>
      </c>
      <c r="L336" s="2">
        <v>402001</v>
      </c>
      <c r="M336" s="2">
        <v>11324</v>
      </c>
    </row>
    <row r="337" spans="1:13" ht="15.75" x14ac:dyDescent="0.25">
      <c r="A337" s="2" t="s">
        <v>390</v>
      </c>
      <c r="B337" s="2" t="s">
        <v>516</v>
      </c>
      <c r="C337" s="2">
        <v>5</v>
      </c>
      <c r="D337" s="2">
        <v>35</v>
      </c>
      <c r="E337" s="2" t="s">
        <v>22</v>
      </c>
      <c r="F337" s="2">
        <v>270000</v>
      </c>
      <c r="G337" s="2" t="s">
        <v>724</v>
      </c>
      <c r="H337" s="2" t="s">
        <v>725</v>
      </c>
      <c r="I337" s="5" t="s">
        <v>702</v>
      </c>
      <c r="J337" s="2" t="str">
        <f>VLOOKUP(M337,[1]Directorate!$A:$B,2,FALSE)</f>
        <v>IT Infrastructure</v>
      </c>
      <c r="K337" s="6">
        <f>ROUND(19350,2)</f>
        <v>19350</v>
      </c>
      <c r="L337" s="2">
        <v>402001</v>
      </c>
      <c r="M337" s="2">
        <v>11324</v>
      </c>
    </row>
    <row r="338" spans="1:13" ht="15.75" x14ac:dyDescent="0.25">
      <c r="A338" s="2" t="s">
        <v>486</v>
      </c>
      <c r="B338" s="2" t="s">
        <v>507</v>
      </c>
      <c r="C338" s="2">
        <v>1</v>
      </c>
      <c r="D338" s="2">
        <v>3529</v>
      </c>
      <c r="E338" s="2" t="s">
        <v>20</v>
      </c>
      <c r="F338" s="2">
        <v>390000</v>
      </c>
      <c r="G338" s="2" t="s">
        <v>713</v>
      </c>
      <c r="H338" s="2" t="s">
        <v>713</v>
      </c>
      <c r="I338" s="5" t="s">
        <v>714</v>
      </c>
      <c r="J338" s="2" t="str">
        <f>VLOOKUP(M338,[1]Directorate!$A:$B,2,FALSE)</f>
        <v>Emergency Tree Works</v>
      </c>
      <c r="K338" s="6">
        <f>ROUND(82933,2)</f>
        <v>82933</v>
      </c>
      <c r="L338" s="2">
        <v>401600</v>
      </c>
      <c r="M338" s="2">
        <v>11168</v>
      </c>
    </row>
    <row r="339" spans="1:13" ht="15.75" x14ac:dyDescent="0.25">
      <c r="A339" s="2" t="s">
        <v>486</v>
      </c>
      <c r="B339" s="2" t="s">
        <v>524</v>
      </c>
      <c r="C339" s="2">
        <v>1</v>
      </c>
      <c r="D339" s="2">
        <v>7684</v>
      </c>
      <c r="E339" s="2" t="s">
        <v>442</v>
      </c>
      <c r="F339" s="2">
        <v>270000</v>
      </c>
      <c r="G339" s="2" t="s">
        <v>724</v>
      </c>
      <c r="H339" s="2" t="s">
        <v>725</v>
      </c>
      <c r="I339" s="5" t="s">
        <v>702</v>
      </c>
      <c r="J339" s="2" t="str">
        <f>VLOOKUP(M339,[1]Directorate!$A:$B,2,FALSE)</f>
        <v>IT Infrastructure</v>
      </c>
      <c r="K339" s="6">
        <f>ROUND(1102.92,2)</f>
        <v>1102.92</v>
      </c>
      <c r="L339" s="2">
        <v>402001</v>
      </c>
      <c r="M339" s="2">
        <v>11324</v>
      </c>
    </row>
    <row r="340" spans="1:13" ht="15.75" x14ac:dyDescent="0.25">
      <c r="A340" s="2" t="s">
        <v>486</v>
      </c>
      <c r="B340" s="2" t="s">
        <v>525</v>
      </c>
      <c r="C340" s="2">
        <v>1</v>
      </c>
      <c r="D340" s="2">
        <v>843</v>
      </c>
      <c r="E340" s="2" t="s">
        <v>367</v>
      </c>
      <c r="F340" s="2">
        <v>390000</v>
      </c>
      <c r="G340" s="2" t="s">
        <v>713</v>
      </c>
      <c r="H340" s="2" t="s">
        <v>713</v>
      </c>
      <c r="I340" s="7" t="s">
        <v>714</v>
      </c>
      <c r="J340" s="2" t="e">
        <f>VLOOKUP(M340,[1]Directorate!$A:$B,2,FALSE)</f>
        <v>#N/A</v>
      </c>
      <c r="K340" s="6">
        <f>ROUND(14845,2)</f>
        <v>14845</v>
      </c>
      <c r="L340" s="2">
        <v>401600</v>
      </c>
      <c r="M340" s="2" t="s">
        <v>526</v>
      </c>
    </row>
    <row r="341" spans="1:13" ht="15.75" x14ac:dyDescent="0.25">
      <c r="A341" s="2" t="s">
        <v>486</v>
      </c>
      <c r="B341" s="2" t="s">
        <v>524</v>
      </c>
      <c r="C341" s="2">
        <v>2</v>
      </c>
      <c r="D341" s="2">
        <v>7684</v>
      </c>
      <c r="E341" s="2" t="s">
        <v>442</v>
      </c>
      <c r="F341" s="2">
        <v>270000</v>
      </c>
      <c r="G341" s="2" t="s">
        <v>724</v>
      </c>
      <c r="H341" s="2" t="s">
        <v>725</v>
      </c>
      <c r="I341" s="5" t="s">
        <v>702</v>
      </c>
      <c r="J341" s="2" t="str">
        <f>VLOOKUP(M341,[1]Directorate!$A:$B,2,FALSE)</f>
        <v>IT Infrastructure</v>
      </c>
      <c r="K341" s="6">
        <f>ROUND(3480.33,2)</f>
        <v>3480.33</v>
      </c>
      <c r="L341" s="2">
        <v>402001</v>
      </c>
      <c r="M341" s="2">
        <v>11324</v>
      </c>
    </row>
    <row r="342" spans="1:13" ht="15.75" x14ac:dyDescent="0.25">
      <c r="A342" s="2" t="s">
        <v>486</v>
      </c>
      <c r="B342" s="2" t="s">
        <v>524</v>
      </c>
      <c r="C342" s="2">
        <v>3</v>
      </c>
      <c r="D342" s="2">
        <v>7684</v>
      </c>
      <c r="E342" s="2" t="s">
        <v>442</v>
      </c>
      <c r="F342" s="2">
        <v>270000</v>
      </c>
      <c r="G342" s="2" t="s">
        <v>724</v>
      </c>
      <c r="H342" s="2" t="s">
        <v>725</v>
      </c>
      <c r="I342" s="5" t="s">
        <v>702</v>
      </c>
      <c r="J342" s="2" t="str">
        <f>VLOOKUP(M342,[1]Directorate!$A:$B,2,FALSE)</f>
        <v>IT Infrastructure</v>
      </c>
      <c r="K342" s="6">
        <f>ROUND(6675.11,2)</f>
        <v>6675.11</v>
      </c>
      <c r="L342" s="2">
        <v>402001</v>
      </c>
      <c r="M342" s="2">
        <v>11324</v>
      </c>
    </row>
    <row r="343" spans="1:13" ht="15.75" x14ac:dyDescent="0.25">
      <c r="A343" s="2" t="s">
        <v>486</v>
      </c>
      <c r="B343" s="2" t="s">
        <v>524</v>
      </c>
      <c r="C343" s="2">
        <v>4</v>
      </c>
      <c r="D343" s="2">
        <v>7684</v>
      </c>
      <c r="E343" s="2" t="s">
        <v>442</v>
      </c>
      <c r="F343" s="2">
        <v>270000</v>
      </c>
      <c r="G343" s="2" t="s">
        <v>724</v>
      </c>
      <c r="H343" s="2" t="s">
        <v>725</v>
      </c>
      <c r="I343" s="5" t="s">
        <v>702</v>
      </c>
      <c r="J343" s="2" t="str">
        <f>VLOOKUP(M343,[1]Directorate!$A:$B,2,FALSE)</f>
        <v>IT Infrastructure</v>
      </c>
      <c r="K343" s="6">
        <f>ROUND(5590.42,2)</f>
        <v>5590.42</v>
      </c>
      <c r="L343" s="2">
        <v>402001</v>
      </c>
      <c r="M343" s="2">
        <v>11324</v>
      </c>
    </row>
    <row r="344" spans="1:13" ht="15.75" x14ac:dyDescent="0.25">
      <c r="A344" s="2" t="s">
        <v>486</v>
      </c>
      <c r="B344" s="2" t="s">
        <v>524</v>
      </c>
      <c r="C344" s="2">
        <v>5</v>
      </c>
      <c r="D344" s="2">
        <v>7684</v>
      </c>
      <c r="E344" s="2" t="s">
        <v>442</v>
      </c>
      <c r="F344" s="2">
        <v>270000</v>
      </c>
      <c r="G344" s="2" t="s">
        <v>724</v>
      </c>
      <c r="H344" s="2" t="s">
        <v>725</v>
      </c>
      <c r="I344" s="5" t="s">
        <v>702</v>
      </c>
      <c r="J344" s="2" t="str">
        <f>VLOOKUP(M344,[1]Directorate!$A:$B,2,FALSE)</f>
        <v>IT Infrastructure</v>
      </c>
      <c r="K344" s="6">
        <f>ROUND(7220.65,2)</f>
        <v>7220.65</v>
      </c>
      <c r="L344" s="2">
        <v>402001</v>
      </c>
      <c r="M344" s="2">
        <v>11324</v>
      </c>
    </row>
    <row r="345" spans="1:13" ht="15.75" x14ac:dyDescent="0.25">
      <c r="A345" s="2" t="s">
        <v>502</v>
      </c>
      <c r="B345" s="2" t="s">
        <v>506</v>
      </c>
      <c r="C345" s="2">
        <v>1</v>
      </c>
      <c r="D345" s="2">
        <v>11242</v>
      </c>
      <c r="E345" s="2" t="s">
        <v>62</v>
      </c>
      <c r="F345" s="2">
        <v>999999</v>
      </c>
      <c r="G345" s="2" t="s">
        <v>715</v>
      </c>
      <c r="H345" s="2" t="s">
        <v>715</v>
      </c>
      <c r="I345" s="5" t="s">
        <v>705</v>
      </c>
      <c r="J345" s="2" t="str">
        <f>VLOOKUP(M345,[1]Directorate!$A:$B,2,FALSE)</f>
        <v>RAA - ASF Grant</v>
      </c>
      <c r="K345" s="6">
        <f>ROUND(7800,2)</f>
        <v>7800</v>
      </c>
      <c r="L345" s="2">
        <v>401035</v>
      </c>
      <c r="M345" s="2">
        <v>12968</v>
      </c>
    </row>
    <row r="346" spans="1:13" ht="15.75" x14ac:dyDescent="0.25">
      <c r="A346" s="2" t="s">
        <v>502</v>
      </c>
      <c r="B346" s="2" t="s">
        <v>527</v>
      </c>
      <c r="C346" s="2">
        <v>1</v>
      </c>
      <c r="D346" s="2">
        <v>16330</v>
      </c>
      <c r="E346" s="2" t="s">
        <v>171</v>
      </c>
      <c r="F346" s="2">
        <v>370000</v>
      </c>
      <c r="G346" s="2" t="s">
        <v>736</v>
      </c>
      <c r="H346" s="2" t="s">
        <v>737</v>
      </c>
      <c r="I346" s="5" t="s">
        <v>705</v>
      </c>
      <c r="J346" s="2" t="str">
        <f>VLOOKUP(M346,[1]Directorate!$A:$B,2,FALSE)</f>
        <v>Highfields PRU</v>
      </c>
      <c r="K346" s="6">
        <f>ROUND(376.52,2)</f>
        <v>376.52</v>
      </c>
      <c r="L346" s="2">
        <v>200510</v>
      </c>
      <c r="M346" s="2">
        <v>10329</v>
      </c>
    </row>
    <row r="347" spans="1:13" ht="15.75" x14ac:dyDescent="0.25">
      <c r="A347" s="2" t="s">
        <v>502</v>
      </c>
      <c r="B347" s="2" t="s">
        <v>528</v>
      </c>
      <c r="C347" s="2">
        <v>1</v>
      </c>
      <c r="D347" s="2">
        <v>6356</v>
      </c>
      <c r="E347" s="2" t="s">
        <v>205</v>
      </c>
      <c r="F347" s="2">
        <v>390000</v>
      </c>
      <c r="G347" s="2" t="s">
        <v>703</v>
      </c>
      <c r="H347" s="2" t="s">
        <v>704</v>
      </c>
      <c r="I347" s="7" t="s">
        <v>702</v>
      </c>
      <c r="J347" s="2" t="e">
        <f>VLOOKUP(M347,[1]Directorate!$A:$B,2,FALSE)</f>
        <v>#N/A</v>
      </c>
      <c r="K347" s="6">
        <f>ROUND(8160,2)</f>
        <v>8160</v>
      </c>
      <c r="L347" s="2">
        <v>200127</v>
      </c>
      <c r="M347" s="2" t="s">
        <v>529</v>
      </c>
    </row>
    <row r="348" spans="1:13" ht="15.75" x14ac:dyDescent="0.25">
      <c r="A348" s="2" t="s">
        <v>502</v>
      </c>
      <c r="B348" s="2" t="s">
        <v>530</v>
      </c>
      <c r="C348" s="2">
        <v>1</v>
      </c>
      <c r="D348" s="2">
        <v>15378</v>
      </c>
      <c r="E348" s="2" t="s">
        <v>531</v>
      </c>
      <c r="F348" s="2">
        <v>261300</v>
      </c>
      <c r="G348" s="2" t="s">
        <v>766</v>
      </c>
      <c r="H348" s="2" t="s">
        <v>767</v>
      </c>
      <c r="I348" s="5" t="s">
        <v>702</v>
      </c>
      <c r="J348" s="2" t="str">
        <f>VLOOKUP(M348,[1]Directorate!$A:$B,2,FALSE)</f>
        <v>Chief Execs Office</v>
      </c>
      <c r="K348" s="6">
        <f>ROUND(16000,2)</f>
        <v>16000</v>
      </c>
      <c r="L348" s="2">
        <v>102040</v>
      </c>
      <c r="M348" s="2">
        <v>11112</v>
      </c>
    </row>
    <row r="349" spans="1:13" ht="15.75" x14ac:dyDescent="0.25">
      <c r="A349" s="2" t="s">
        <v>502</v>
      </c>
      <c r="B349" s="2" t="s">
        <v>533</v>
      </c>
      <c r="C349" s="2">
        <v>1</v>
      </c>
      <c r="D349" s="2">
        <v>14063</v>
      </c>
      <c r="E349" s="2" t="s">
        <v>105</v>
      </c>
      <c r="F349" s="2">
        <v>150000</v>
      </c>
      <c r="G349" s="2" t="s">
        <v>716</v>
      </c>
      <c r="H349" s="2" t="s">
        <v>717</v>
      </c>
      <c r="I349" s="5" t="s">
        <v>705</v>
      </c>
      <c r="J349" s="2" t="str">
        <f>VLOOKUP(M349,[1]Directorate!$A:$B,2,FALSE)</f>
        <v>GO/HG Client spend</v>
      </c>
      <c r="K349" s="6">
        <f>ROUND(10000,2)</f>
        <v>10000</v>
      </c>
      <c r="L349" s="2">
        <v>401020</v>
      </c>
      <c r="M349" s="2">
        <v>13147</v>
      </c>
    </row>
    <row r="350" spans="1:13" ht="15.75" x14ac:dyDescent="0.25">
      <c r="A350" s="2" t="s">
        <v>502</v>
      </c>
      <c r="B350" s="2" t="s">
        <v>527</v>
      </c>
      <c r="C350" s="2">
        <v>2</v>
      </c>
      <c r="D350" s="2">
        <v>16330</v>
      </c>
      <c r="E350" s="2" t="s">
        <v>171</v>
      </c>
      <c r="F350" s="2">
        <v>370000</v>
      </c>
      <c r="G350" s="2" t="s">
        <v>736</v>
      </c>
      <c r="H350" s="2" t="s">
        <v>737</v>
      </c>
      <c r="I350" s="5" t="s">
        <v>705</v>
      </c>
      <c r="J350" s="2" t="str">
        <f>VLOOKUP(M350,[1]Directorate!$A:$B,2,FALSE)</f>
        <v>Highfields PRU</v>
      </c>
      <c r="K350" s="6">
        <f>ROUND(2569.55,2)</f>
        <v>2569.5500000000002</v>
      </c>
      <c r="L350" s="2">
        <v>200510</v>
      </c>
      <c r="M350" s="2">
        <v>10329</v>
      </c>
    </row>
    <row r="351" spans="1:13" ht="15.75" x14ac:dyDescent="0.25">
      <c r="A351" s="2" t="s">
        <v>502</v>
      </c>
      <c r="B351" s="2" t="s">
        <v>527</v>
      </c>
      <c r="C351" s="2">
        <v>3</v>
      </c>
      <c r="D351" s="2">
        <v>16330</v>
      </c>
      <c r="E351" s="2" t="s">
        <v>171</v>
      </c>
      <c r="F351" s="2">
        <v>370000</v>
      </c>
      <c r="G351" s="2" t="s">
        <v>736</v>
      </c>
      <c r="H351" s="2" t="s">
        <v>737</v>
      </c>
      <c r="I351" s="5" t="s">
        <v>705</v>
      </c>
      <c r="J351" s="2" t="str">
        <f>VLOOKUP(M351,[1]Directorate!$A:$B,2,FALSE)</f>
        <v>Highfields PRU</v>
      </c>
      <c r="K351" s="6">
        <f>ROUND(2463.26,2)</f>
        <v>2463.2600000000002</v>
      </c>
      <c r="L351" s="2">
        <v>200510</v>
      </c>
      <c r="M351" s="2">
        <v>10329</v>
      </c>
    </row>
    <row r="352" spans="1:13" ht="15.75" x14ac:dyDescent="0.25">
      <c r="A352" s="2" t="s">
        <v>502</v>
      </c>
      <c r="B352" s="2" t="s">
        <v>527</v>
      </c>
      <c r="C352" s="2">
        <v>4</v>
      </c>
      <c r="D352" s="2">
        <v>16330</v>
      </c>
      <c r="E352" s="2" t="s">
        <v>171</v>
      </c>
      <c r="F352" s="2">
        <v>370000</v>
      </c>
      <c r="G352" s="2" t="s">
        <v>736</v>
      </c>
      <c r="H352" s="2" t="s">
        <v>737</v>
      </c>
      <c r="I352" s="5" t="s">
        <v>705</v>
      </c>
      <c r="J352" s="2" t="str">
        <f>VLOOKUP(M352,[1]Directorate!$A:$B,2,FALSE)</f>
        <v>Highfields PRU</v>
      </c>
      <c r="K352" s="6">
        <f>ROUND(1565.57,2)</f>
        <v>1565.57</v>
      </c>
      <c r="L352" s="2">
        <v>200510</v>
      </c>
      <c r="M352" s="2">
        <v>10329</v>
      </c>
    </row>
    <row r="353" spans="1:13" ht="15.75" x14ac:dyDescent="0.25">
      <c r="A353" s="2" t="s">
        <v>504</v>
      </c>
      <c r="B353" s="2" t="s">
        <v>532</v>
      </c>
      <c r="C353" s="2">
        <v>1</v>
      </c>
      <c r="D353" s="2">
        <v>10176</v>
      </c>
      <c r="E353" s="2" t="s">
        <v>168</v>
      </c>
      <c r="F353" s="2">
        <v>261500</v>
      </c>
      <c r="G353" s="2" t="s">
        <v>718</v>
      </c>
      <c r="H353" s="2" t="s">
        <v>760</v>
      </c>
      <c r="I353" s="5" t="s">
        <v>702</v>
      </c>
      <c r="J353" s="2" t="str">
        <f>VLOOKUP(M353,[1]Directorate!$A:$B,2,FALSE)</f>
        <v>Traded Services</v>
      </c>
      <c r="K353" s="6">
        <f>ROUND(5819,2)</f>
        <v>5819</v>
      </c>
      <c r="L353" s="2">
        <v>402201</v>
      </c>
      <c r="M353" s="2">
        <v>11735</v>
      </c>
    </row>
    <row r="354" spans="1:13" ht="15.75" x14ac:dyDescent="0.25">
      <c r="A354" s="2" t="s">
        <v>504</v>
      </c>
      <c r="B354" s="2" t="s">
        <v>534</v>
      </c>
      <c r="C354" s="2">
        <v>1</v>
      </c>
      <c r="D354" s="2">
        <v>14063</v>
      </c>
      <c r="E354" s="2" t="s">
        <v>105</v>
      </c>
      <c r="F354" s="2">
        <v>150000</v>
      </c>
      <c r="G354" s="2" t="s">
        <v>716</v>
      </c>
      <c r="H354" s="2" t="s">
        <v>717</v>
      </c>
      <c r="I354" s="5" t="s">
        <v>705</v>
      </c>
      <c r="J354" s="2" t="str">
        <f>VLOOKUP(M354,[1]Directorate!$A:$B,2,FALSE)</f>
        <v>W&amp;B Client spend</v>
      </c>
      <c r="K354" s="6">
        <f>ROUND(5000,2)</f>
        <v>5000</v>
      </c>
      <c r="L354" s="2">
        <v>401020</v>
      </c>
      <c r="M354" s="2">
        <v>13141</v>
      </c>
    </row>
    <row r="355" spans="1:13" ht="15.75" x14ac:dyDescent="0.25">
      <c r="A355" s="2" t="s">
        <v>504</v>
      </c>
      <c r="B355" s="2" t="s">
        <v>535</v>
      </c>
      <c r="C355" s="2">
        <v>1</v>
      </c>
      <c r="D355" s="2">
        <v>14063</v>
      </c>
      <c r="E355" s="2" t="s">
        <v>105</v>
      </c>
      <c r="F355" s="2">
        <v>150000</v>
      </c>
      <c r="G355" s="2" t="s">
        <v>716</v>
      </c>
      <c r="H355" s="2" t="s">
        <v>717</v>
      </c>
      <c r="I355" s="5" t="s">
        <v>705</v>
      </c>
      <c r="J355" s="2" t="str">
        <f>VLOOKUP(M355,[1]Directorate!$A:$B,2,FALSE)</f>
        <v>W&amp;B Client spend</v>
      </c>
      <c r="K355" s="6">
        <f>ROUND(5000,2)</f>
        <v>5000</v>
      </c>
      <c r="L355" s="2">
        <v>401020</v>
      </c>
      <c r="M355" s="2">
        <v>13141</v>
      </c>
    </row>
    <row r="356" spans="1:13" ht="15.75" x14ac:dyDescent="0.25">
      <c r="A356" s="2" t="s">
        <v>504</v>
      </c>
      <c r="B356" s="2" t="s">
        <v>539</v>
      </c>
      <c r="C356" s="2">
        <v>1</v>
      </c>
      <c r="D356" s="2">
        <v>13223</v>
      </c>
      <c r="E356" s="2" t="s">
        <v>331</v>
      </c>
      <c r="F356" s="2">
        <v>150000</v>
      </c>
      <c r="G356" s="2" t="s">
        <v>716</v>
      </c>
      <c r="H356" s="2" t="s">
        <v>717</v>
      </c>
      <c r="I356" s="5" t="s">
        <v>714</v>
      </c>
      <c r="J356" s="2" t="str">
        <f>VLOOKUP(M356,[1]Directorate!$A:$B,2,FALSE)</f>
        <v>Property Client Acct</v>
      </c>
      <c r="K356" s="6">
        <f>ROUND(6800,2)</f>
        <v>6800</v>
      </c>
      <c r="L356" s="2">
        <v>401020</v>
      </c>
      <c r="M356" s="2">
        <v>11137</v>
      </c>
    </row>
    <row r="357" spans="1:13" ht="15.75" x14ac:dyDescent="0.25">
      <c r="A357" s="2" t="s">
        <v>504</v>
      </c>
      <c r="B357" s="2" t="s">
        <v>540</v>
      </c>
      <c r="C357" s="2">
        <v>1</v>
      </c>
      <c r="D357" s="2">
        <v>13223</v>
      </c>
      <c r="E357" s="2" t="s">
        <v>331</v>
      </c>
      <c r="F357" s="2">
        <v>150000</v>
      </c>
      <c r="G357" s="2" t="s">
        <v>716</v>
      </c>
      <c r="H357" s="2" t="s">
        <v>717</v>
      </c>
      <c r="I357" s="5" t="s">
        <v>714</v>
      </c>
      <c r="J357" s="2" t="str">
        <f>VLOOKUP(M357,[1]Directorate!$A:$B,2,FALSE)</f>
        <v>Property Client Acct</v>
      </c>
      <c r="K357" s="6">
        <f>ROUND(5007,2)</f>
        <v>5007</v>
      </c>
      <c r="L357" s="2">
        <v>401020</v>
      </c>
      <c r="M357" s="2">
        <v>11137</v>
      </c>
    </row>
    <row r="358" spans="1:13" ht="15.75" x14ac:dyDescent="0.25">
      <c r="A358" s="2" t="s">
        <v>504</v>
      </c>
      <c r="B358" s="2" t="s">
        <v>541</v>
      </c>
      <c r="C358" s="2">
        <v>1</v>
      </c>
      <c r="D358" s="2">
        <v>11014</v>
      </c>
      <c r="E358" s="2" t="s">
        <v>359</v>
      </c>
      <c r="F358" s="2">
        <v>390000</v>
      </c>
      <c r="G358" s="2" t="s">
        <v>703</v>
      </c>
      <c r="H358" s="2" t="s">
        <v>704</v>
      </c>
      <c r="I358" s="5" t="s">
        <v>714</v>
      </c>
      <c r="J358" s="2" t="str">
        <f>VLOOKUP(M358,[1]Directorate!$A:$B,2,FALSE)</f>
        <v>Car Parks Admin</v>
      </c>
      <c r="K358" s="6">
        <f>ROUND(62700,2)</f>
        <v>62700</v>
      </c>
      <c r="L358" s="2">
        <v>200123</v>
      </c>
      <c r="M358" s="2">
        <v>10005</v>
      </c>
    </row>
    <row r="359" spans="1:13" ht="15.75" x14ac:dyDescent="0.25">
      <c r="A359" s="2" t="s">
        <v>504</v>
      </c>
      <c r="B359" s="2" t="s">
        <v>542</v>
      </c>
      <c r="C359" s="2">
        <v>1</v>
      </c>
      <c r="D359" s="2">
        <v>7025</v>
      </c>
      <c r="E359" s="2" t="s">
        <v>221</v>
      </c>
      <c r="F359" s="2">
        <v>150000</v>
      </c>
      <c r="G359" s="2" t="s">
        <v>716</v>
      </c>
      <c r="H359" s="2" t="s">
        <v>717</v>
      </c>
      <c r="I359" s="5" t="s">
        <v>714</v>
      </c>
      <c r="J359" s="2" t="str">
        <f>VLOOKUP(M359,[1]Directorate!$A:$B,2,FALSE)</f>
        <v>Property Client Acct</v>
      </c>
      <c r="K359" s="6">
        <f>ROUND(10540,2)</f>
        <v>10540</v>
      </c>
      <c r="L359" s="2">
        <v>401020</v>
      </c>
      <c r="M359" s="2">
        <v>11137</v>
      </c>
    </row>
    <row r="360" spans="1:13" ht="15.75" x14ac:dyDescent="0.25">
      <c r="A360" s="2" t="s">
        <v>504</v>
      </c>
      <c r="B360" s="2" t="s">
        <v>543</v>
      </c>
      <c r="C360" s="2">
        <v>1</v>
      </c>
      <c r="D360" s="2">
        <v>7025</v>
      </c>
      <c r="E360" s="2" t="s">
        <v>221</v>
      </c>
      <c r="F360" s="2">
        <v>150000</v>
      </c>
      <c r="G360" s="2" t="s">
        <v>716</v>
      </c>
      <c r="H360" s="2" t="s">
        <v>717</v>
      </c>
      <c r="I360" s="5" t="s">
        <v>714</v>
      </c>
      <c r="J360" s="2" t="str">
        <f>VLOOKUP(M360,[1]Directorate!$A:$B,2,FALSE)</f>
        <v>Property Client Acct</v>
      </c>
      <c r="K360" s="6">
        <f>ROUND(8450,2)</f>
        <v>8450</v>
      </c>
      <c r="L360" s="2">
        <v>401020</v>
      </c>
      <c r="M360" s="2">
        <v>11137</v>
      </c>
    </row>
    <row r="361" spans="1:13" ht="15.75" x14ac:dyDescent="0.25">
      <c r="A361" s="2" t="s">
        <v>504</v>
      </c>
      <c r="B361" s="2" t="s">
        <v>545</v>
      </c>
      <c r="C361" s="2">
        <v>1</v>
      </c>
      <c r="D361" s="2">
        <v>15378</v>
      </c>
      <c r="E361" s="2" t="s">
        <v>531</v>
      </c>
      <c r="F361" s="2">
        <v>261300</v>
      </c>
      <c r="G361" s="2" t="s">
        <v>766</v>
      </c>
      <c r="H361" s="2" t="s">
        <v>767</v>
      </c>
      <c r="I361" s="5" t="s">
        <v>714</v>
      </c>
      <c r="J361" s="2" t="str">
        <f>VLOOKUP(M361,[1]Directorate!$A:$B,2,FALSE)</f>
        <v>Directorate</v>
      </c>
      <c r="K361" s="6">
        <f>ROUND(16000,2)</f>
        <v>16000</v>
      </c>
      <c r="L361" s="2">
        <v>102040</v>
      </c>
      <c r="M361" s="2">
        <v>10106</v>
      </c>
    </row>
    <row r="362" spans="1:13" ht="15.75" x14ac:dyDescent="0.25">
      <c r="A362" s="2" t="s">
        <v>504</v>
      </c>
      <c r="B362" s="2" t="s">
        <v>548</v>
      </c>
      <c r="C362" s="2">
        <v>1</v>
      </c>
      <c r="D362" s="2">
        <v>7889</v>
      </c>
      <c r="E362" s="2" t="s">
        <v>203</v>
      </c>
      <c r="F362" s="2">
        <v>390000</v>
      </c>
      <c r="G362" s="2" t="s">
        <v>703</v>
      </c>
      <c r="H362" s="2" t="s">
        <v>704</v>
      </c>
      <c r="I362" s="5" t="s">
        <v>714</v>
      </c>
      <c r="J362" s="2" t="str">
        <f>VLOOKUP(M362,[1]Directorate!$A:$B,2,FALSE)</f>
        <v>StockportArt Gallery</v>
      </c>
      <c r="K362" s="6">
        <f>ROUND(6160,2)</f>
        <v>6160</v>
      </c>
      <c r="L362" s="2">
        <v>200123</v>
      </c>
      <c r="M362" s="2">
        <v>11378</v>
      </c>
    </row>
    <row r="363" spans="1:13" ht="15.75" x14ac:dyDescent="0.25">
      <c r="A363" s="2" t="s">
        <v>495</v>
      </c>
      <c r="B363" s="2" t="s">
        <v>515</v>
      </c>
      <c r="C363" s="2">
        <v>1</v>
      </c>
      <c r="D363" s="2">
        <v>16326</v>
      </c>
      <c r="E363" s="2" t="s">
        <v>311</v>
      </c>
      <c r="F363" s="2">
        <v>320000</v>
      </c>
      <c r="G363" s="2" t="s">
        <v>741</v>
      </c>
      <c r="H363" s="2" t="s">
        <v>742</v>
      </c>
      <c r="I363" s="5" t="s">
        <v>714</v>
      </c>
      <c r="J363" s="2" t="str">
        <f>VLOOKUP(M363,[1]Directorate!$A:$B,2,FALSE)</f>
        <v>Crewe-Manchester RP</v>
      </c>
      <c r="K363" s="6">
        <f>ROUND(6450,2)</f>
        <v>6450</v>
      </c>
      <c r="L363" s="2">
        <v>402403</v>
      </c>
      <c r="M363" s="2">
        <v>10083</v>
      </c>
    </row>
    <row r="364" spans="1:13" ht="15.75" x14ac:dyDescent="0.25">
      <c r="A364" s="2" t="s">
        <v>495</v>
      </c>
      <c r="B364" s="2" t="s">
        <v>549</v>
      </c>
      <c r="C364" s="2">
        <v>1</v>
      </c>
      <c r="D364" s="2">
        <v>16400</v>
      </c>
      <c r="E364" s="2" t="s">
        <v>550</v>
      </c>
      <c r="F364" s="2">
        <v>210000</v>
      </c>
      <c r="G364" s="2" t="s">
        <v>708</v>
      </c>
      <c r="H364" s="2" t="s">
        <v>707</v>
      </c>
      <c r="I364" s="7" t="s">
        <v>714</v>
      </c>
      <c r="J364" s="2" t="e">
        <f>VLOOKUP(M364,[1]Directorate!$A:$B,2,FALSE)</f>
        <v>#N/A</v>
      </c>
      <c r="K364" s="6">
        <f>ROUND(500,2)</f>
        <v>500</v>
      </c>
      <c r="L364" s="2">
        <v>400105</v>
      </c>
      <c r="M364" s="2" t="s">
        <v>71</v>
      </c>
    </row>
    <row r="365" spans="1:13" ht="15.75" x14ac:dyDescent="0.25">
      <c r="A365" s="2" t="s">
        <v>495</v>
      </c>
      <c r="B365" s="2" t="s">
        <v>553</v>
      </c>
      <c r="C365" s="2">
        <v>1</v>
      </c>
      <c r="D365" s="2">
        <v>3529</v>
      </c>
      <c r="E365" s="2" t="s">
        <v>20</v>
      </c>
      <c r="F365" s="2">
        <v>290000</v>
      </c>
      <c r="G365" s="2" t="s">
        <v>752</v>
      </c>
      <c r="H365" s="2" t="s">
        <v>753</v>
      </c>
      <c r="I365" s="5" t="s">
        <v>714</v>
      </c>
      <c r="J365" s="2" t="str">
        <f>VLOOKUP(M365,[1]Directorate!$A:$B,2,FALSE)</f>
        <v>Borough Festive Ligh</v>
      </c>
      <c r="K365" s="6">
        <f>ROUND(40080,2)</f>
        <v>40080</v>
      </c>
      <c r="L365" s="2">
        <v>401801</v>
      </c>
      <c r="M365" s="2">
        <v>12654</v>
      </c>
    </row>
    <row r="366" spans="1:13" ht="15.75" x14ac:dyDescent="0.25">
      <c r="A366" s="2" t="s">
        <v>495</v>
      </c>
      <c r="B366" s="2" t="s">
        <v>554</v>
      </c>
      <c r="C366" s="2">
        <v>1</v>
      </c>
      <c r="D366" s="2">
        <v>10363</v>
      </c>
      <c r="E366" s="2" t="s">
        <v>555</v>
      </c>
      <c r="F366" s="2">
        <v>290000</v>
      </c>
      <c r="G366" s="2" t="s">
        <v>752</v>
      </c>
      <c r="H366" s="2" t="s">
        <v>753</v>
      </c>
      <c r="I366" s="5" t="s">
        <v>714</v>
      </c>
      <c r="J366" s="2" t="str">
        <f>VLOOKUP(M366,[1]Directorate!$A:$B,2,FALSE)</f>
        <v>Borough Festive Ligh</v>
      </c>
      <c r="K366" s="6">
        <f>ROUND(34921.2,2)</f>
        <v>34921.199999999997</v>
      </c>
      <c r="L366" s="2">
        <v>401801</v>
      </c>
      <c r="M366" s="2">
        <v>12654</v>
      </c>
    </row>
    <row r="367" spans="1:13" ht="15.75" x14ac:dyDescent="0.25">
      <c r="A367" s="2" t="s">
        <v>495</v>
      </c>
      <c r="B367" s="2" t="s">
        <v>558</v>
      </c>
      <c r="C367" s="2">
        <v>1</v>
      </c>
      <c r="D367" s="2">
        <v>10363</v>
      </c>
      <c r="E367" s="2" t="s">
        <v>555</v>
      </c>
      <c r="F367" s="2">
        <v>290000</v>
      </c>
      <c r="G367" s="2" t="s">
        <v>752</v>
      </c>
      <c r="H367" s="2" t="s">
        <v>753</v>
      </c>
      <c r="I367" s="5" t="s">
        <v>714</v>
      </c>
      <c r="J367" s="2" t="str">
        <f>VLOOKUP(M367,[1]Directorate!$A:$B,2,FALSE)</f>
        <v>Borough Festive Ligh</v>
      </c>
      <c r="K367" s="6">
        <f>ROUND(15275,2)</f>
        <v>15275</v>
      </c>
      <c r="L367" s="2">
        <v>401801</v>
      </c>
      <c r="M367" s="2">
        <v>12654</v>
      </c>
    </row>
    <row r="368" spans="1:13" ht="15.75" x14ac:dyDescent="0.25">
      <c r="A368" s="2" t="s">
        <v>495</v>
      </c>
      <c r="B368" s="2" t="s">
        <v>560</v>
      </c>
      <c r="C368" s="2">
        <v>1</v>
      </c>
      <c r="D368" s="2">
        <v>4272</v>
      </c>
      <c r="E368" s="2" t="s">
        <v>56</v>
      </c>
      <c r="F368" s="2">
        <v>181800</v>
      </c>
      <c r="G368" s="2" t="s">
        <v>706</v>
      </c>
      <c r="H368" s="2" t="s">
        <v>707</v>
      </c>
      <c r="I368" s="5" t="s">
        <v>702</v>
      </c>
      <c r="J368" s="2" t="str">
        <f>VLOOKUP(M368,[1]Directorate!$A:$B,2,FALSE)</f>
        <v>Public Libraries Gen</v>
      </c>
      <c r="K368" s="6">
        <f>ROUND(25500,2)</f>
        <v>25500</v>
      </c>
      <c r="L368" s="2">
        <v>400111</v>
      </c>
      <c r="M368" s="2">
        <v>11329</v>
      </c>
    </row>
    <row r="369" spans="1:13" ht="15.75" x14ac:dyDescent="0.25">
      <c r="A369" s="2" t="s">
        <v>495</v>
      </c>
      <c r="B369" s="2" t="s">
        <v>563</v>
      </c>
      <c r="C369" s="2">
        <v>1</v>
      </c>
      <c r="D369" s="2">
        <v>780</v>
      </c>
      <c r="E369" s="2" t="s">
        <v>552</v>
      </c>
      <c r="F369" s="2">
        <v>181800</v>
      </c>
      <c r="G369" s="2" t="s">
        <v>706</v>
      </c>
      <c r="H369" s="2" t="s">
        <v>707</v>
      </c>
      <c r="I369" s="5" t="s">
        <v>714</v>
      </c>
      <c r="J369" s="2" t="str">
        <f>VLOOKUP(M369,[1]Directorate!$A:$B,2,FALSE)</f>
        <v>Nature-Arboriculture</v>
      </c>
      <c r="K369" s="6">
        <f>ROUND(714,2)</f>
        <v>714</v>
      </c>
      <c r="L369" s="2">
        <v>400110</v>
      </c>
      <c r="M369" s="2">
        <v>11281</v>
      </c>
    </row>
    <row r="370" spans="1:13" ht="15.75" x14ac:dyDescent="0.25">
      <c r="A370" s="2" t="s">
        <v>495</v>
      </c>
      <c r="B370" s="2" t="s">
        <v>565</v>
      </c>
      <c r="C370" s="2">
        <v>1</v>
      </c>
      <c r="D370" s="2">
        <v>12200</v>
      </c>
      <c r="E370" s="2" t="s">
        <v>566</v>
      </c>
      <c r="F370" s="2">
        <v>230000</v>
      </c>
      <c r="G370" s="2" t="s">
        <v>756</v>
      </c>
      <c r="H370" s="2" t="s">
        <v>757</v>
      </c>
      <c r="I370" s="7" t="s">
        <v>714</v>
      </c>
      <c r="J370" s="2" t="e">
        <f>VLOOKUP(M370,[1]Directorate!$A:$B,2,FALSE)</f>
        <v>#N/A</v>
      </c>
      <c r="K370" s="6">
        <f>ROUND(39630.23,2)</f>
        <v>39630.230000000003</v>
      </c>
      <c r="L370" s="2">
        <v>202055</v>
      </c>
      <c r="M370" s="2" t="s">
        <v>421</v>
      </c>
    </row>
    <row r="371" spans="1:13" ht="15.75" x14ac:dyDescent="0.25">
      <c r="A371" s="2" t="s">
        <v>495</v>
      </c>
      <c r="B371" s="2" t="s">
        <v>549</v>
      </c>
      <c r="C371" s="2">
        <v>2</v>
      </c>
      <c r="D371" s="2">
        <v>16400</v>
      </c>
      <c r="E371" s="2" t="s">
        <v>550</v>
      </c>
      <c r="F371" s="2">
        <v>210000</v>
      </c>
      <c r="G371" s="2" t="s">
        <v>708</v>
      </c>
      <c r="H371" s="2" t="s">
        <v>707</v>
      </c>
      <c r="I371" s="7" t="s">
        <v>714</v>
      </c>
      <c r="J371" s="2" t="e">
        <f>VLOOKUP(M371,[1]Directorate!$A:$B,2,FALSE)</f>
        <v>#N/A</v>
      </c>
      <c r="K371" s="6">
        <f>ROUND(6000,2)</f>
        <v>6000</v>
      </c>
      <c r="L371" s="2">
        <v>400105</v>
      </c>
      <c r="M371" s="2" t="s">
        <v>71</v>
      </c>
    </row>
    <row r="372" spans="1:13" ht="15.75" x14ac:dyDescent="0.25">
      <c r="A372" s="2" t="s">
        <v>495</v>
      </c>
      <c r="B372" s="2" t="s">
        <v>560</v>
      </c>
      <c r="C372" s="2">
        <v>2</v>
      </c>
      <c r="D372" s="2">
        <v>4272</v>
      </c>
      <c r="E372" s="2" t="s">
        <v>56</v>
      </c>
      <c r="F372" s="2">
        <v>181800</v>
      </c>
      <c r="G372" s="2" t="s">
        <v>706</v>
      </c>
      <c r="H372" s="2" t="s">
        <v>707</v>
      </c>
      <c r="I372" s="5" t="s">
        <v>702</v>
      </c>
      <c r="J372" s="2" t="str">
        <f>VLOOKUP(M372,[1]Directorate!$A:$B,2,FALSE)</f>
        <v>Public Libraries Gen</v>
      </c>
      <c r="K372" s="6">
        <f>ROUND(500,2)</f>
        <v>500</v>
      </c>
      <c r="L372" s="2">
        <v>400111</v>
      </c>
      <c r="M372" s="2">
        <v>11329</v>
      </c>
    </row>
    <row r="373" spans="1:13" ht="15.75" x14ac:dyDescent="0.25">
      <c r="A373" s="2" t="s">
        <v>495</v>
      </c>
      <c r="B373" s="2" t="s">
        <v>563</v>
      </c>
      <c r="C373" s="2">
        <v>2</v>
      </c>
      <c r="D373" s="2">
        <v>780</v>
      </c>
      <c r="E373" s="2" t="s">
        <v>552</v>
      </c>
      <c r="F373" s="2">
        <v>181800</v>
      </c>
      <c r="G373" s="2" t="s">
        <v>706</v>
      </c>
      <c r="H373" s="2" t="s">
        <v>707</v>
      </c>
      <c r="I373" s="5" t="s">
        <v>714</v>
      </c>
      <c r="J373" s="2" t="str">
        <f>VLOOKUP(M373,[1]Directorate!$A:$B,2,FALSE)</f>
        <v>Nature-Arboriculture</v>
      </c>
      <c r="K373" s="6">
        <f>ROUND(1638,2)</f>
        <v>1638</v>
      </c>
      <c r="L373" s="2">
        <v>400110</v>
      </c>
      <c r="M373" s="2">
        <v>11281</v>
      </c>
    </row>
    <row r="374" spans="1:13" ht="15.75" x14ac:dyDescent="0.25">
      <c r="A374" s="2" t="s">
        <v>495</v>
      </c>
      <c r="B374" s="2" t="s">
        <v>549</v>
      </c>
      <c r="C374" s="2">
        <v>3</v>
      </c>
      <c r="D374" s="2">
        <v>16400</v>
      </c>
      <c r="E374" s="2" t="s">
        <v>550</v>
      </c>
      <c r="F374" s="2">
        <v>210000</v>
      </c>
      <c r="G374" s="2" t="s">
        <v>708</v>
      </c>
      <c r="H374" s="2" t="s">
        <v>707</v>
      </c>
      <c r="I374" s="7" t="s">
        <v>714</v>
      </c>
      <c r="J374" s="2" t="e">
        <f>VLOOKUP(M374,[1]Directorate!$A:$B,2,FALSE)</f>
        <v>#N/A</v>
      </c>
      <c r="K374" s="6">
        <f>ROUND(1500,2)</f>
        <v>1500</v>
      </c>
      <c r="L374" s="2">
        <v>400105</v>
      </c>
      <c r="M374" s="2" t="s">
        <v>71</v>
      </c>
    </row>
    <row r="375" spans="1:13" ht="15.75" x14ac:dyDescent="0.25">
      <c r="A375" s="2" t="s">
        <v>495</v>
      </c>
      <c r="B375" s="2" t="s">
        <v>563</v>
      </c>
      <c r="C375" s="2">
        <v>3</v>
      </c>
      <c r="D375" s="2">
        <v>780</v>
      </c>
      <c r="E375" s="2" t="s">
        <v>552</v>
      </c>
      <c r="F375" s="2">
        <v>181800</v>
      </c>
      <c r="G375" s="2" t="s">
        <v>706</v>
      </c>
      <c r="H375" s="2" t="s">
        <v>707</v>
      </c>
      <c r="I375" s="5" t="s">
        <v>714</v>
      </c>
      <c r="J375" s="2" t="str">
        <f>VLOOKUP(M375,[1]Directorate!$A:$B,2,FALSE)</f>
        <v>Nature-Arboriculture</v>
      </c>
      <c r="K375" s="6">
        <f>ROUND(658,2)</f>
        <v>658</v>
      </c>
      <c r="L375" s="2">
        <v>400110</v>
      </c>
      <c r="M375" s="2">
        <v>11281</v>
      </c>
    </row>
    <row r="376" spans="1:13" ht="15.75" x14ac:dyDescent="0.25">
      <c r="A376" s="2" t="s">
        <v>495</v>
      </c>
      <c r="B376" s="2" t="s">
        <v>563</v>
      </c>
      <c r="C376" s="2">
        <v>4</v>
      </c>
      <c r="D376" s="2">
        <v>780</v>
      </c>
      <c r="E376" s="2" t="s">
        <v>552</v>
      </c>
      <c r="F376" s="2">
        <v>181800</v>
      </c>
      <c r="G376" s="2" t="s">
        <v>706</v>
      </c>
      <c r="H376" s="2" t="s">
        <v>707</v>
      </c>
      <c r="I376" s="5" t="s">
        <v>714</v>
      </c>
      <c r="J376" s="2" t="str">
        <f>VLOOKUP(M376,[1]Directorate!$A:$B,2,FALSE)</f>
        <v>Nature-Arboriculture</v>
      </c>
      <c r="K376" s="6">
        <f>ROUND(1058,2)</f>
        <v>1058</v>
      </c>
      <c r="L376" s="2">
        <v>400110</v>
      </c>
      <c r="M376" s="2">
        <v>11281</v>
      </c>
    </row>
    <row r="377" spans="1:13" ht="15.75" x14ac:dyDescent="0.25">
      <c r="A377" s="2" t="s">
        <v>495</v>
      </c>
      <c r="B377" s="2" t="s">
        <v>563</v>
      </c>
      <c r="C377" s="2">
        <v>5</v>
      </c>
      <c r="D377" s="2">
        <v>780</v>
      </c>
      <c r="E377" s="2" t="s">
        <v>552</v>
      </c>
      <c r="F377" s="2">
        <v>181800</v>
      </c>
      <c r="G377" s="2" t="s">
        <v>706</v>
      </c>
      <c r="H377" s="2" t="s">
        <v>707</v>
      </c>
      <c r="I377" s="5" t="s">
        <v>714</v>
      </c>
      <c r="J377" s="2" t="str">
        <f>VLOOKUP(M377,[1]Directorate!$A:$B,2,FALSE)</f>
        <v>Nature-Arboriculture</v>
      </c>
      <c r="K377" s="6">
        <f>ROUND(39,2)</f>
        <v>39</v>
      </c>
      <c r="L377" s="2">
        <v>400110</v>
      </c>
      <c r="M377" s="2">
        <v>11281</v>
      </c>
    </row>
    <row r="378" spans="1:13" ht="15.75" x14ac:dyDescent="0.25">
      <c r="A378" s="2" t="s">
        <v>495</v>
      </c>
      <c r="B378" s="2" t="s">
        <v>563</v>
      </c>
      <c r="C378" s="2">
        <v>6</v>
      </c>
      <c r="D378" s="2">
        <v>780</v>
      </c>
      <c r="E378" s="2" t="s">
        <v>552</v>
      </c>
      <c r="F378" s="2">
        <v>181800</v>
      </c>
      <c r="G378" s="2" t="s">
        <v>706</v>
      </c>
      <c r="H378" s="2" t="s">
        <v>707</v>
      </c>
      <c r="I378" s="5" t="s">
        <v>714</v>
      </c>
      <c r="J378" s="2" t="str">
        <f>VLOOKUP(M378,[1]Directorate!$A:$B,2,FALSE)</f>
        <v>Nature-Arboriculture</v>
      </c>
      <c r="K378" s="6">
        <f>ROUND(468,2)</f>
        <v>468</v>
      </c>
      <c r="L378" s="2">
        <v>400110</v>
      </c>
      <c r="M378" s="2">
        <v>11281</v>
      </c>
    </row>
    <row r="379" spans="1:13" ht="15.75" x14ac:dyDescent="0.25">
      <c r="A379" s="2" t="s">
        <v>495</v>
      </c>
      <c r="B379" s="2" t="s">
        <v>563</v>
      </c>
      <c r="C379" s="2">
        <v>7</v>
      </c>
      <c r="D379" s="2">
        <v>780</v>
      </c>
      <c r="E379" s="2" t="s">
        <v>552</v>
      </c>
      <c r="F379" s="2">
        <v>181800</v>
      </c>
      <c r="G379" s="2" t="s">
        <v>706</v>
      </c>
      <c r="H379" s="2" t="s">
        <v>707</v>
      </c>
      <c r="I379" s="5" t="s">
        <v>714</v>
      </c>
      <c r="J379" s="2" t="str">
        <f>VLOOKUP(M379,[1]Directorate!$A:$B,2,FALSE)</f>
        <v>Nature-Arboriculture</v>
      </c>
      <c r="K379" s="6">
        <f>ROUND(1144,2)</f>
        <v>1144</v>
      </c>
      <c r="L379" s="2">
        <v>400110</v>
      </c>
      <c r="M379" s="2">
        <v>11281</v>
      </c>
    </row>
    <row r="380" spans="1:13" ht="15.75" x14ac:dyDescent="0.25">
      <c r="A380" s="2" t="s">
        <v>495</v>
      </c>
      <c r="B380" s="2" t="s">
        <v>563</v>
      </c>
      <c r="C380" s="2">
        <v>8</v>
      </c>
      <c r="D380" s="2">
        <v>780</v>
      </c>
      <c r="E380" s="2" t="s">
        <v>552</v>
      </c>
      <c r="F380" s="2">
        <v>181800</v>
      </c>
      <c r="G380" s="2" t="s">
        <v>706</v>
      </c>
      <c r="H380" s="2" t="s">
        <v>707</v>
      </c>
      <c r="I380" s="5" t="s">
        <v>714</v>
      </c>
      <c r="J380" s="2" t="str">
        <f>VLOOKUP(M380,[1]Directorate!$A:$B,2,FALSE)</f>
        <v>Nature-Arboriculture</v>
      </c>
      <c r="K380" s="6">
        <f>ROUND(630,2)</f>
        <v>630</v>
      </c>
      <c r="L380" s="2">
        <v>400110</v>
      </c>
      <c r="M380" s="2">
        <v>11281</v>
      </c>
    </row>
    <row r="381" spans="1:13" ht="15.75" x14ac:dyDescent="0.25">
      <c r="A381" s="2" t="s">
        <v>495</v>
      </c>
      <c r="B381" s="2" t="s">
        <v>563</v>
      </c>
      <c r="C381" s="2">
        <v>9</v>
      </c>
      <c r="D381" s="2">
        <v>780</v>
      </c>
      <c r="E381" s="2" t="s">
        <v>552</v>
      </c>
      <c r="F381" s="2">
        <v>181800</v>
      </c>
      <c r="G381" s="2" t="s">
        <v>706</v>
      </c>
      <c r="H381" s="2" t="s">
        <v>707</v>
      </c>
      <c r="I381" s="5" t="s">
        <v>714</v>
      </c>
      <c r="J381" s="2" t="str">
        <f>VLOOKUP(M381,[1]Directorate!$A:$B,2,FALSE)</f>
        <v>Nature-Arboriculture</v>
      </c>
      <c r="K381" s="6">
        <f>ROUND(660,2)</f>
        <v>660</v>
      </c>
      <c r="L381" s="2">
        <v>400110</v>
      </c>
      <c r="M381" s="2">
        <v>11281</v>
      </c>
    </row>
    <row r="382" spans="1:13" ht="15.75" x14ac:dyDescent="0.25">
      <c r="A382" s="2" t="s">
        <v>495</v>
      </c>
      <c r="B382" s="2" t="s">
        <v>563</v>
      </c>
      <c r="C382" s="2">
        <v>10</v>
      </c>
      <c r="D382" s="2">
        <v>780</v>
      </c>
      <c r="E382" s="2" t="s">
        <v>552</v>
      </c>
      <c r="F382" s="2">
        <v>181800</v>
      </c>
      <c r="G382" s="2" t="s">
        <v>706</v>
      </c>
      <c r="H382" s="2" t="s">
        <v>707</v>
      </c>
      <c r="I382" s="5" t="s">
        <v>714</v>
      </c>
      <c r="J382" s="2" t="str">
        <f>VLOOKUP(M382,[1]Directorate!$A:$B,2,FALSE)</f>
        <v>Nature-Arboriculture</v>
      </c>
      <c r="K382" s="6">
        <f>ROUND(660,2)</f>
        <v>660</v>
      </c>
      <c r="L382" s="2">
        <v>400110</v>
      </c>
      <c r="M382" s="2">
        <v>11281</v>
      </c>
    </row>
    <row r="383" spans="1:13" ht="15.75" x14ac:dyDescent="0.25">
      <c r="A383" s="2" t="s">
        <v>495</v>
      </c>
      <c r="B383" s="2" t="s">
        <v>563</v>
      </c>
      <c r="C383" s="2">
        <v>11</v>
      </c>
      <c r="D383" s="2">
        <v>780</v>
      </c>
      <c r="E383" s="2" t="s">
        <v>552</v>
      </c>
      <c r="F383" s="2">
        <v>181800</v>
      </c>
      <c r="G383" s="2" t="s">
        <v>706</v>
      </c>
      <c r="H383" s="2" t="s">
        <v>707</v>
      </c>
      <c r="I383" s="5" t="s">
        <v>714</v>
      </c>
      <c r="J383" s="2" t="str">
        <f>VLOOKUP(M383,[1]Directorate!$A:$B,2,FALSE)</f>
        <v>Nature-Arboriculture</v>
      </c>
      <c r="K383" s="6">
        <f>ROUND(117,2)</f>
        <v>117</v>
      </c>
      <c r="L383" s="2">
        <v>400110</v>
      </c>
      <c r="M383" s="2">
        <v>11281</v>
      </c>
    </row>
    <row r="384" spans="1:13" ht="15.75" x14ac:dyDescent="0.25">
      <c r="A384" s="2" t="s">
        <v>495</v>
      </c>
      <c r="B384" s="2" t="s">
        <v>563</v>
      </c>
      <c r="C384" s="2">
        <v>12</v>
      </c>
      <c r="D384" s="2">
        <v>780</v>
      </c>
      <c r="E384" s="2" t="s">
        <v>552</v>
      </c>
      <c r="F384" s="2">
        <v>181800</v>
      </c>
      <c r="G384" s="2" t="s">
        <v>706</v>
      </c>
      <c r="H384" s="2" t="s">
        <v>707</v>
      </c>
      <c r="I384" s="5" t="s">
        <v>714</v>
      </c>
      <c r="J384" s="2" t="str">
        <f>VLOOKUP(M384,[1]Directorate!$A:$B,2,FALSE)</f>
        <v>Nature-Arboriculture</v>
      </c>
      <c r="K384" s="6">
        <f>ROUND(42,2)</f>
        <v>42</v>
      </c>
      <c r="L384" s="2">
        <v>400110</v>
      </c>
      <c r="M384" s="2">
        <v>11281</v>
      </c>
    </row>
    <row r="385" spans="1:13" ht="15.75" x14ac:dyDescent="0.25">
      <c r="A385" s="2" t="s">
        <v>495</v>
      </c>
      <c r="B385" s="2" t="s">
        <v>563</v>
      </c>
      <c r="C385" s="2">
        <v>13</v>
      </c>
      <c r="D385" s="2">
        <v>780</v>
      </c>
      <c r="E385" s="2" t="s">
        <v>552</v>
      </c>
      <c r="F385" s="2">
        <v>181800</v>
      </c>
      <c r="G385" s="2" t="s">
        <v>706</v>
      </c>
      <c r="H385" s="2" t="s">
        <v>707</v>
      </c>
      <c r="I385" s="5" t="s">
        <v>714</v>
      </c>
      <c r="J385" s="2" t="str">
        <f>VLOOKUP(M385,[1]Directorate!$A:$B,2,FALSE)</f>
        <v>Nature-Arboriculture</v>
      </c>
      <c r="K385" s="6">
        <f>ROUND(546,2)</f>
        <v>546</v>
      </c>
      <c r="L385" s="2">
        <v>400110</v>
      </c>
      <c r="M385" s="2">
        <v>11281</v>
      </c>
    </row>
    <row r="386" spans="1:13" ht="15.75" x14ac:dyDescent="0.25">
      <c r="A386" s="2" t="s">
        <v>495</v>
      </c>
      <c r="B386" s="2" t="s">
        <v>563</v>
      </c>
      <c r="C386" s="2">
        <v>14</v>
      </c>
      <c r="D386" s="2">
        <v>780</v>
      </c>
      <c r="E386" s="2" t="s">
        <v>552</v>
      </c>
      <c r="F386" s="2">
        <v>181800</v>
      </c>
      <c r="G386" s="2" t="s">
        <v>706</v>
      </c>
      <c r="H386" s="2" t="s">
        <v>707</v>
      </c>
      <c r="I386" s="5" t="s">
        <v>714</v>
      </c>
      <c r="J386" s="2" t="str">
        <f>VLOOKUP(M386,[1]Directorate!$A:$B,2,FALSE)</f>
        <v>Nature-Arboriculture</v>
      </c>
      <c r="K386" s="6">
        <f>ROUND(110,2)</f>
        <v>110</v>
      </c>
      <c r="L386" s="2">
        <v>400110</v>
      </c>
      <c r="M386" s="2">
        <v>11281</v>
      </c>
    </row>
    <row r="387" spans="1:13" ht="15.75" x14ac:dyDescent="0.25">
      <c r="A387" s="2" t="s">
        <v>495</v>
      </c>
      <c r="B387" s="2" t="s">
        <v>563</v>
      </c>
      <c r="C387" s="2">
        <v>15</v>
      </c>
      <c r="D387" s="2">
        <v>780</v>
      </c>
      <c r="E387" s="2" t="s">
        <v>552</v>
      </c>
      <c r="F387" s="2">
        <v>181800</v>
      </c>
      <c r="G387" s="2" t="s">
        <v>706</v>
      </c>
      <c r="H387" s="2" t="s">
        <v>707</v>
      </c>
      <c r="I387" s="5" t="s">
        <v>714</v>
      </c>
      <c r="J387" s="2" t="str">
        <f>VLOOKUP(M387,[1]Directorate!$A:$B,2,FALSE)</f>
        <v>Nature-Arboriculture</v>
      </c>
      <c r="K387" s="6">
        <f>ROUND(78,2)</f>
        <v>78</v>
      </c>
      <c r="L387" s="2">
        <v>400110</v>
      </c>
      <c r="M387" s="2">
        <v>11281</v>
      </c>
    </row>
    <row r="388" spans="1:13" ht="15.75" x14ac:dyDescent="0.25">
      <c r="A388" s="2" t="s">
        <v>495</v>
      </c>
      <c r="B388" s="2" t="s">
        <v>563</v>
      </c>
      <c r="C388" s="2">
        <v>16</v>
      </c>
      <c r="D388" s="2">
        <v>780</v>
      </c>
      <c r="E388" s="2" t="s">
        <v>552</v>
      </c>
      <c r="F388" s="2">
        <v>181800</v>
      </c>
      <c r="G388" s="2" t="s">
        <v>706</v>
      </c>
      <c r="H388" s="2" t="s">
        <v>707</v>
      </c>
      <c r="I388" s="5" t="s">
        <v>714</v>
      </c>
      <c r="J388" s="2" t="str">
        <f>VLOOKUP(M388,[1]Directorate!$A:$B,2,FALSE)</f>
        <v>Nature-Arboriculture</v>
      </c>
      <c r="K388" s="6">
        <f>ROUND(80,2)</f>
        <v>80</v>
      </c>
      <c r="L388" s="2">
        <v>400110</v>
      </c>
      <c r="M388" s="2">
        <v>11281</v>
      </c>
    </row>
    <row r="389" spans="1:13" ht="15.75" x14ac:dyDescent="0.25">
      <c r="A389" s="2" t="s">
        <v>495</v>
      </c>
      <c r="B389" s="2" t="s">
        <v>563</v>
      </c>
      <c r="C389" s="2">
        <v>17</v>
      </c>
      <c r="D389" s="2">
        <v>780</v>
      </c>
      <c r="E389" s="2" t="s">
        <v>552</v>
      </c>
      <c r="F389" s="2">
        <v>181800</v>
      </c>
      <c r="G389" s="2" t="s">
        <v>706</v>
      </c>
      <c r="H389" s="2" t="s">
        <v>707</v>
      </c>
      <c r="I389" s="5" t="s">
        <v>714</v>
      </c>
      <c r="J389" s="2" t="str">
        <f>VLOOKUP(M389,[1]Directorate!$A:$B,2,FALSE)</f>
        <v>Nature-Arboriculture</v>
      </c>
      <c r="K389" s="6">
        <f>ROUND(7.5,2)</f>
        <v>7.5</v>
      </c>
      <c r="L389" s="2">
        <v>400110</v>
      </c>
      <c r="M389" s="2">
        <v>11281</v>
      </c>
    </row>
    <row r="390" spans="1:13" ht="15.75" x14ac:dyDescent="0.25">
      <c r="A390" s="2" t="s">
        <v>495</v>
      </c>
      <c r="B390" s="2" t="s">
        <v>563</v>
      </c>
      <c r="C390" s="2">
        <v>18</v>
      </c>
      <c r="D390" s="2">
        <v>780</v>
      </c>
      <c r="E390" s="2" t="s">
        <v>552</v>
      </c>
      <c r="F390" s="2">
        <v>181800</v>
      </c>
      <c r="G390" s="2" t="s">
        <v>706</v>
      </c>
      <c r="H390" s="2" t="s">
        <v>707</v>
      </c>
      <c r="I390" s="5" t="s">
        <v>714</v>
      </c>
      <c r="J390" s="2" t="str">
        <f>VLOOKUP(M390,[1]Directorate!$A:$B,2,FALSE)</f>
        <v>Nature-Arboriculture</v>
      </c>
      <c r="K390" s="6">
        <f>ROUND(76,2)</f>
        <v>76</v>
      </c>
      <c r="L390" s="2">
        <v>400110</v>
      </c>
      <c r="M390" s="2">
        <v>11281</v>
      </c>
    </row>
    <row r="391" spans="1:13" ht="15.75" x14ac:dyDescent="0.25">
      <c r="A391" s="2" t="s">
        <v>495</v>
      </c>
      <c r="B391" s="2" t="s">
        <v>563</v>
      </c>
      <c r="C391" s="2">
        <v>19</v>
      </c>
      <c r="D391" s="2">
        <v>780</v>
      </c>
      <c r="E391" s="2" t="s">
        <v>552</v>
      </c>
      <c r="F391" s="2">
        <v>181800</v>
      </c>
      <c r="G391" s="2" t="s">
        <v>706</v>
      </c>
      <c r="H391" s="2" t="s">
        <v>707</v>
      </c>
      <c r="I391" s="5" t="s">
        <v>714</v>
      </c>
      <c r="J391" s="2" t="str">
        <f>VLOOKUP(M391,[1]Directorate!$A:$B,2,FALSE)</f>
        <v>Nature-Arboriculture</v>
      </c>
      <c r="K391" s="6">
        <f>ROUND(38,2)</f>
        <v>38</v>
      </c>
      <c r="L391" s="2">
        <v>400110</v>
      </c>
      <c r="M391" s="2">
        <v>11281</v>
      </c>
    </row>
    <row r="392" spans="1:13" ht="15.75" x14ac:dyDescent="0.25">
      <c r="A392" s="2" t="s">
        <v>495</v>
      </c>
      <c r="B392" s="2" t="s">
        <v>563</v>
      </c>
      <c r="C392" s="2">
        <v>20</v>
      </c>
      <c r="D392" s="2">
        <v>780</v>
      </c>
      <c r="E392" s="2" t="s">
        <v>552</v>
      </c>
      <c r="F392" s="2">
        <v>181800</v>
      </c>
      <c r="G392" s="2" t="s">
        <v>706</v>
      </c>
      <c r="H392" s="2" t="s">
        <v>707</v>
      </c>
      <c r="I392" s="5" t="s">
        <v>714</v>
      </c>
      <c r="J392" s="2" t="str">
        <f>VLOOKUP(M392,[1]Directorate!$A:$B,2,FALSE)</f>
        <v>Nature-Arboriculture</v>
      </c>
      <c r="K392" s="6">
        <f>ROUND(38,2)</f>
        <v>38</v>
      </c>
      <c r="L392" s="2">
        <v>400110</v>
      </c>
      <c r="M392" s="2">
        <v>11281</v>
      </c>
    </row>
    <row r="393" spans="1:13" ht="15.75" x14ac:dyDescent="0.25">
      <c r="A393" s="2" t="s">
        <v>495</v>
      </c>
      <c r="B393" s="2" t="s">
        <v>563</v>
      </c>
      <c r="C393" s="2">
        <v>21</v>
      </c>
      <c r="D393" s="2">
        <v>780</v>
      </c>
      <c r="E393" s="2" t="s">
        <v>552</v>
      </c>
      <c r="F393" s="2">
        <v>181800</v>
      </c>
      <c r="G393" s="2" t="s">
        <v>706</v>
      </c>
      <c r="H393" s="2" t="s">
        <v>707</v>
      </c>
      <c r="I393" s="5" t="s">
        <v>714</v>
      </c>
      <c r="J393" s="2" t="str">
        <f>VLOOKUP(M393,[1]Directorate!$A:$B,2,FALSE)</f>
        <v>Nature-Arboriculture</v>
      </c>
      <c r="K393" s="6">
        <f>ROUND(22.5,2)</f>
        <v>22.5</v>
      </c>
      <c r="L393" s="2">
        <v>400110</v>
      </c>
      <c r="M393" s="2">
        <v>11281</v>
      </c>
    </row>
    <row r="394" spans="1:13" ht="15.75" x14ac:dyDescent="0.25">
      <c r="A394" s="2" t="s">
        <v>495</v>
      </c>
      <c r="B394" s="2" t="s">
        <v>563</v>
      </c>
      <c r="C394" s="2">
        <v>22</v>
      </c>
      <c r="D394" s="2">
        <v>780</v>
      </c>
      <c r="E394" s="2" t="s">
        <v>552</v>
      </c>
      <c r="F394" s="2">
        <v>181800</v>
      </c>
      <c r="G394" s="2" t="s">
        <v>706</v>
      </c>
      <c r="H394" s="2" t="s">
        <v>707</v>
      </c>
      <c r="I394" s="5" t="s">
        <v>714</v>
      </c>
      <c r="J394" s="2" t="str">
        <f>VLOOKUP(M394,[1]Directorate!$A:$B,2,FALSE)</f>
        <v>Nature-Arboriculture</v>
      </c>
      <c r="K394" s="6">
        <f>ROUND(22.5,2)</f>
        <v>22.5</v>
      </c>
      <c r="L394" s="2">
        <v>400110</v>
      </c>
      <c r="M394" s="2">
        <v>11281</v>
      </c>
    </row>
    <row r="395" spans="1:13" ht="15.75" x14ac:dyDescent="0.25">
      <c r="A395" s="2" t="s">
        <v>1</v>
      </c>
      <c r="B395" s="2" t="s">
        <v>0</v>
      </c>
      <c r="C395" s="2">
        <v>1</v>
      </c>
      <c r="D395" s="2">
        <v>15166</v>
      </c>
      <c r="E395" s="2" t="s">
        <v>2</v>
      </c>
      <c r="F395" s="2">
        <v>202000</v>
      </c>
      <c r="G395" s="2" t="s">
        <v>731</v>
      </c>
      <c r="H395" s="2" t="s">
        <v>732</v>
      </c>
      <c r="I395" s="5" t="s">
        <v>705</v>
      </c>
      <c r="J395" s="2" t="str">
        <f>VLOOKUP(M395,[1]Directorate!$A:$B,2,FALSE)</f>
        <v>LDRC Day Centre</v>
      </c>
      <c r="K395" s="6">
        <f>ROUND(216257.09,2)</f>
        <v>216257.09</v>
      </c>
      <c r="L395" s="2">
        <v>200700</v>
      </c>
      <c r="M395" s="2">
        <v>12227</v>
      </c>
    </row>
    <row r="396" spans="1:13" ht="15.75" x14ac:dyDescent="0.25">
      <c r="A396" s="2" t="s">
        <v>1</v>
      </c>
      <c r="B396" s="2" t="s">
        <v>385</v>
      </c>
      <c r="C396" s="2">
        <v>1</v>
      </c>
      <c r="D396" s="2">
        <v>1644</v>
      </c>
      <c r="E396" s="2" t="s">
        <v>155</v>
      </c>
      <c r="F396" s="2">
        <v>999999</v>
      </c>
      <c r="G396" s="2" t="s">
        <v>746</v>
      </c>
      <c r="H396" s="2" t="s">
        <v>746</v>
      </c>
      <c r="I396" s="5" t="s">
        <v>705</v>
      </c>
      <c r="J396" s="2" t="str">
        <f>VLOOKUP(M396,[1]Directorate!$A:$B,2,FALSE)</f>
        <v>Adults Management</v>
      </c>
      <c r="K396" s="6">
        <f>ROUND(10750,2)</f>
        <v>10750</v>
      </c>
      <c r="L396" s="2">
        <v>500303</v>
      </c>
      <c r="M396" s="2">
        <v>11873</v>
      </c>
    </row>
    <row r="397" spans="1:13" ht="15.75" x14ac:dyDescent="0.25">
      <c r="A397" s="2" t="s">
        <v>1</v>
      </c>
      <c r="B397" s="2" t="s">
        <v>427</v>
      </c>
      <c r="C397" s="2">
        <v>1</v>
      </c>
      <c r="D397" s="2">
        <v>13316</v>
      </c>
      <c r="E397" s="2" t="s">
        <v>428</v>
      </c>
      <c r="F397" s="2">
        <v>320000</v>
      </c>
      <c r="G397" s="2" t="s">
        <v>741</v>
      </c>
      <c r="H397" s="2" t="s">
        <v>742</v>
      </c>
      <c r="I397" s="5" t="s">
        <v>705</v>
      </c>
      <c r="J397" s="2" t="str">
        <f>VLOOKUP(M397,[1]Directorate!$A:$B,2,FALSE)</f>
        <v>Top-up Fund Post 16</v>
      </c>
      <c r="K397" s="6">
        <f>ROUND(9607.92,2)</f>
        <v>9607.92</v>
      </c>
      <c r="L397" s="2">
        <v>402403</v>
      </c>
      <c r="M397" s="2">
        <v>12724</v>
      </c>
    </row>
    <row r="398" spans="1:13" ht="15.75" x14ac:dyDescent="0.25">
      <c r="A398" s="2" t="s">
        <v>1</v>
      </c>
      <c r="B398" s="2" t="s">
        <v>512</v>
      </c>
      <c r="C398" s="2">
        <v>1</v>
      </c>
      <c r="D398" s="2">
        <v>13249</v>
      </c>
      <c r="E398" s="2" t="s">
        <v>513</v>
      </c>
      <c r="F398" s="2">
        <v>260000</v>
      </c>
      <c r="G398" s="2" t="s">
        <v>720</v>
      </c>
      <c r="H398" s="2" t="s">
        <v>768</v>
      </c>
      <c r="I398" s="5" t="s">
        <v>705</v>
      </c>
      <c r="J398" s="2" t="str">
        <f>VLOOKUP(M398,[1]Directorate!$A:$B,2,FALSE)</f>
        <v>Proactive Care</v>
      </c>
      <c r="K398" s="6">
        <f>ROUND(72254,2)</f>
        <v>72254</v>
      </c>
      <c r="L398" s="2">
        <v>100304</v>
      </c>
      <c r="M398" s="2">
        <v>12829</v>
      </c>
    </row>
    <row r="399" spans="1:13" ht="15.75" x14ac:dyDescent="0.25">
      <c r="A399" s="2" t="s">
        <v>1</v>
      </c>
      <c r="B399" s="2" t="s">
        <v>522</v>
      </c>
      <c r="C399" s="2">
        <v>1</v>
      </c>
      <c r="D399" s="2">
        <v>16399</v>
      </c>
      <c r="E399" s="2" t="s">
        <v>523</v>
      </c>
      <c r="F399" s="2">
        <v>320000</v>
      </c>
      <c r="G399" s="2" t="s">
        <v>741</v>
      </c>
      <c r="H399" s="2" t="s">
        <v>742</v>
      </c>
      <c r="I399" s="5" t="s">
        <v>705</v>
      </c>
      <c r="J399" s="2" t="str">
        <f>VLOOKUP(M399,[1]Directorate!$A:$B,2,FALSE)</f>
        <v>Top-up Fund Post 16</v>
      </c>
      <c r="K399" s="6">
        <f>ROUND(35000,2)</f>
        <v>35000</v>
      </c>
      <c r="L399" s="2">
        <v>402403</v>
      </c>
      <c r="M399" s="2">
        <v>12724</v>
      </c>
    </row>
    <row r="400" spans="1:13" ht="15.75" x14ac:dyDescent="0.25">
      <c r="A400" s="2" t="s">
        <v>1</v>
      </c>
      <c r="B400" s="2" t="s">
        <v>556</v>
      </c>
      <c r="C400" s="2">
        <v>1</v>
      </c>
      <c r="D400" s="2">
        <v>10899</v>
      </c>
      <c r="E400" s="2" t="s">
        <v>557</v>
      </c>
      <c r="F400" s="2">
        <v>320000</v>
      </c>
      <c r="G400" s="2" t="s">
        <v>741</v>
      </c>
      <c r="H400" s="2" t="s">
        <v>742</v>
      </c>
      <c r="I400" s="5" t="s">
        <v>705</v>
      </c>
      <c r="J400" s="2" t="str">
        <f>VLOOKUP(M400,[1]Directorate!$A:$B,2,FALSE)</f>
        <v>Top-up Fund Post 16</v>
      </c>
      <c r="K400" s="6">
        <f>ROUND(66240,2)</f>
        <v>66240</v>
      </c>
      <c r="L400" s="2">
        <v>402403</v>
      </c>
      <c r="M400" s="2">
        <v>12724</v>
      </c>
    </row>
    <row r="401" spans="1:13" ht="15.75" x14ac:dyDescent="0.25">
      <c r="A401" s="2" t="s">
        <v>1</v>
      </c>
      <c r="B401" s="2" t="s">
        <v>564</v>
      </c>
      <c r="C401" s="2">
        <v>1</v>
      </c>
      <c r="D401" s="2">
        <v>15251</v>
      </c>
      <c r="E401" s="2" t="s">
        <v>118</v>
      </c>
      <c r="F401" s="2">
        <v>240000</v>
      </c>
      <c r="G401" s="2" t="s">
        <v>711</v>
      </c>
      <c r="H401" s="2" t="s">
        <v>712</v>
      </c>
      <c r="I401" s="7" t="s">
        <v>714</v>
      </c>
      <c r="J401" s="2" t="e">
        <f>VLOOKUP(M401,[1]Directorate!$A:$B,2,FALSE)</f>
        <v>#N/A</v>
      </c>
      <c r="K401" s="6">
        <f>ROUND(9720,2)</f>
        <v>9720</v>
      </c>
      <c r="L401" s="2">
        <v>202032</v>
      </c>
      <c r="M401" s="2" t="s">
        <v>82</v>
      </c>
    </row>
    <row r="402" spans="1:13" ht="15.75" x14ac:dyDescent="0.25">
      <c r="A402" s="2" t="s">
        <v>1</v>
      </c>
      <c r="B402" s="2" t="s">
        <v>567</v>
      </c>
      <c r="C402" s="2">
        <v>1</v>
      </c>
      <c r="D402" s="2">
        <v>35</v>
      </c>
      <c r="E402" s="2" t="s">
        <v>22</v>
      </c>
      <c r="F402" s="2">
        <v>270000</v>
      </c>
      <c r="G402" s="2" t="s">
        <v>724</v>
      </c>
      <c r="H402" s="2" t="s">
        <v>725</v>
      </c>
      <c r="I402" s="5" t="s">
        <v>714</v>
      </c>
      <c r="J402" s="2" t="str">
        <f>VLOOKUP(M402,[1]Directorate!$A:$B,2,FALSE)</f>
        <v>Digital projects</v>
      </c>
      <c r="K402" s="6">
        <f>ROUND(4900,2)</f>
        <v>4900</v>
      </c>
      <c r="L402" s="2">
        <v>402001</v>
      </c>
      <c r="M402" s="2">
        <v>13168</v>
      </c>
    </row>
    <row r="403" spans="1:13" ht="15.75" x14ac:dyDescent="0.25">
      <c r="A403" s="2" t="s">
        <v>1</v>
      </c>
      <c r="B403" s="2" t="s">
        <v>568</v>
      </c>
      <c r="C403" s="2">
        <v>1</v>
      </c>
      <c r="D403" s="2">
        <v>3529</v>
      </c>
      <c r="E403" s="2" t="s">
        <v>20</v>
      </c>
      <c r="F403" s="2">
        <v>999999</v>
      </c>
      <c r="G403" s="2" t="s">
        <v>715</v>
      </c>
      <c r="H403" s="2" t="s">
        <v>715</v>
      </c>
      <c r="I403" s="5" t="s">
        <v>714</v>
      </c>
      <c r="J403" s="2" t="str">
        <f>VLOOKUP(M403,[1]Directorate!$A:$B,2,FALSE)</f>
        <v>SLA Safety Detect R</v>
      </c>
      <c r="K403" s="6">
        <f>ROUND(200000,2)</f>
        <v>200000</v>
      </c>
      <c r="L403" s="2">
        <v>402404</v>
      </c>
      <c r="M403" s="2">
        <v>11984</v>
      </c>
    </row>
    <row r="404" spans="1:13" ht="15.75" x14ac:dyDescent="0.25">
      <c r="A404" s="2" t="s">
        <v>1</v>
      </c>
      <c r="B404" s="2" t="s">
        <v>569</v>
      </c>
      <c r="C404" s="2">
        <v>1</v>
      </c>
      <c r="D404" s="2">
        <v>7889</v>
      </c>
      <c r="E404" s="2" t="s">
        <v>203</v>
      </c>
      <c r="F404" s="2">
        <v>390000</v>
      </c>
      <c r="G404" s="2" t="s">
        <v>703</v>
      </c>
      <c r="H404" s="2" t="s">
        <v>704</v>
      </c>
      <c r="I404" s="5" t="s">
        <v>714</v>
      </c>
      <c r="J404" s="2" t="str">
        <f>VLOOKUP(M404,[1]Directorate!$A:$B,2,FALSE)</f>
        <v>StockportArt Gallery</v>
      </c>
      <c r="K404" s="6">
        <f>ROUND(6310,2)</f>
        <v>6310</v>
      </c>
      <c r="L404" s="2">
        <v>200123</v>
      </c>
      <c r="M404" s="2">
        <v>11378</v>
      </c>
    </row>
    <row r="405" spans="1:13" ht="15.75" x14ac:dyDescent="0.25">
      <c r="A405" s="2" t="s">
        <v>1</v>
      </c>
      <c r="B405" s="2" t="s">
        <v>570</v>
      </c>
      <c r="C405" s="2">
        <v>1</v>
      </c>
      <c r="D405" s="2">
        <v>843</v>
      </c>
      <c r="E405" s="2" t="s">
        <v>367</v>
      </c>
      <c r="F405" s="2">
        <v>390000</v>
      </c>
      <c r="G405" s="2" t="s">
        <v>713</v>
      </c>
      <c r="H405" s="2" t="s">
        <v>713</v>
      </c>
      <c r="I405" s="7" t="s">
        <v>714</v>
      </c>
      <c r="J405" s="2" t="e">
        <f>VLOOKUP(M405,[1]Directorate!$A:$B,2,FALSE)</f>
        <v>#N/A</v>
      </c>
      <c r="K405" s="6">
        <f>ROUND(8635,2)</f>
        <v>8635</v>
      </c>
      <c r="L405" s="2">
        <v>401600</v>
      </c>
      <c r="M405" s="2" t="s">
        <v>571</v>
      </c>
    </row>
    <row r="406" spans="1:13" ht="15.75" x14ac:dyDescent="0.25">
      <c r="A406" s="2" t="s">
        <v>1</v>
      </c>
      <c r="B406" s="2" t="s">
        <v>567</v>
      </c>
      <c r="C406" s="2">
        <v>2</v>
      </c>
      <c r="D406" s="2">
        <v>35</v>
      </c>
      <c r="E406" s="2" t="s">
        <v>22</v>
      </c>
      <c r="F406" s="2">
        <v>270000</v>
      </c>
      <c r="G406" s="2" t="s">
        <v>724</v>
      </c>
      <c r="H406" s="2" t="s">
        <v>725</v>
      </c>
      <c r="I406" s="5" t="s">
        <v>714</v>
      </c>
      <c r="J406" s="2" t="str">
        <f>VLOOKUP(M406,[1]Directorate!$A:$B,2,FALSE)</f>
        <v>Digital projects</v>
      </c>
      <c r="K406" s="6">
        <f>ROUND(1925,2)</f>
        <v>1925</v>
      </c>
      <c r="L406" s="2">
        <v>402001</v>
      </c>
      <c r="M406" s="2">
        <v>13168</v>
      </c>
    </row>
    <row r="407" spans="1:13" ht="15.75" x14ac:dyDescent="0.25">
      <c r="A407" s="2" t="s">
        <v>1</v>
      </c>
      <c r="B407" s="2" t="s">
        <v>567</v>
      </c>
      <c r="C407" s="2">
        <v>3</v>
      </c>
      <c r="D407" s="2">
        <v>35</v>
      </c>
      <c r="E407" s="2" t="s">
        <v>22</v>
      </c>
      <c r="F407" s="2">
        <v>270000</v>
      </c>
      <c r="G407" s="2" t="s">
        <v>724</v>
      </c>
      <c r="H407" s="2" t="s">
        <v>725</v>
      </c>
      <c r="I407" s="5" t="s">
        <v>714</v>
      </c>
      <c r="J407" s="2" t="str">
        <f>VLOOKUP(M407,[1]Directorate!$A:$B,2,FALSE)</f>
        <v>Digital projects</v>
      </c>
      <c r="K407" s="6">
        <f>ROUND(998.75,2)</f>
        <v>998.75</v>
      </c>
      <c r="L407" s="2">
        <v>402001</v>
      </c>
      <c r="M407" s="2">
        <v>13168</v>
      </c>
    </row>
    <row r="408" spans="1:13" ht="15.75" x14ac:dyDescent="0.25">
      <c r="A408" s="2" t="s">
        <v>511</v>
      </c>
      <c r="B408" s="2" t="s">
        <v>544</v>
      </c>
      <c r="C408" s="2">
        <v>1</v>
      </c>
      <c r="D408" s="2">
        <v>12793</v>
      </c>
      <c r="E408" s="2" t="s">
        <v>63</v>
      </c>
      <c r="F408" s="2">
        <v>999999</v>
      </c>
      <c r="G408" s="2" t="s">
        <v>715</v>
      </c>
      <c r="H408" s="2" t="s">
        <v>715</v>
      </c>
      <c r="I408" s="5" t="s">
        <v>705</v>
      </c>
      <c r="J408" s="2" t="str">
        <f>VLOOKUP(M408,[1]Directorate!$A:$B,2,FALSE)</f>
        <v>RAA - ASF Grant</v>
      </c>
      <c r="K408" s="6">
        <f>ROUND(3500,2)</f>
        <v>3500</v>
      </c>
      <c r="L408" s="2">
        <v>401035</v>
      </c>
      <c r="M408" s="2">
        <v>12968</v>
      </c>
    </row>
    <row r="409" spans="1:13" ht="15.75" x14ac:dyDescent="0.25">
      <c r="A409" s="2" t="s">
        <v>511</v>
      </c>
      <c r="B409" s="2" t="s">
        <v>546</v>
      </c>
      <c r="C409" s="2">
        <v>1</v>
      </c>
      <c r="D409" s="2">
        <v>12793</v>
      </c>
      <c r="E409" s="2" t="s">
        <v>63</v>
      </c>
      <c r="F409" s="2">
        <v>999999</v>
      </c>
      <c r="G409" s="2" t="s">
        <v>715</v>
      </c>
      <c r="H409" s="2" t="s">
        <v>715</v>
      </c>
      <c r="I409" s="5" t="s">
        <v>705</v>
      </c>
      <c r="J409" s="2" t="str">
        <f>VLOOKUP(M409,[1]Directorate!$A:$B,2,FALSE)</f>
        <v>RAA - ASF Grant</v>
      </c>
      <c r="K409" s="6">
        <f>ROUND(5000,2)</f>
        <v>5000</v>
      </c>
      <c r="L409" s="2">
        <v>401035</v>
      </c>
      <c r="M409" s="2">
        <v>12968</v>
      </c>
    </row>
    <row r="410" spans="1:13" ht="15.75" x14ac:dyDescent="0.25">
      <c r="A410" s="2" t="s">
        <v>511</v>
      </c>
      <c r="B410" s="2" t="s">
        <v>561</v>
      </c>
      <c r="C410" s="2">
        <v>1</v>
      </c>
      <c r="D410" s="2">
        <v>16407</v>
      </c>
      <c r="E410" s="2" t="s">
        <v>562</v>
      </c>
      <c r="F410" s="2">
        <v>150000</v>
      </c>
      <c r="G410" s="2" t="s">
        <v>716</v>
      </c>
      <c r="H410" s="2" t="s">
        <v>717</v>
      </c>
      <c r="I410" s="5" t="s">
        <v>714</v>
      </c>
      <c r="J410" s="2" t="str">
        <f>VLOOKUP(M410,[1]Directorate!$A:$B,2,FALSE)</f>
        <v>Commercial Standards</v>
      </c>
      <c r="K410" s="6">
        <f>ROUND(45054,2)</f>
        <v>45054</v>
      </c>
      <c r="L410" s="2">
        <v>401020</v>
      </c>
      <c r="M410" s="2">
        <v>10913</v>
      </c>
    </row>
    <row r="411" spans="1:13" ht="15.75" x14ac:dyDescent="0.25">
      <c r="A411" s="2" t="s">
        <v>511</v>
      </c>
      <c r="B411" s="2" t="s">
        <v>572</v>
      </c>
      <c r="C411" s="2">
        <v>1</v>
      </c>
      <c r="D411" s="2">
        <v>12793</v>
      </c>
      <c r="E411" s="2" t="s">
        <v>63</v>
      </c>
      <c r="F411" s="2">
        <v>999999</v>
      </c>
      <c r="G411" s="2" t="s">
        <v>715</v>
      </c>
      <c r="H411" s="2" t="s">
        <v>715</v>
      </c>
      <c r="I411" s="5" t="s">
        <v>705</v>
      </c>
      <c r="J411" s="2" t="str">
        <f>VLOOKUP(M411,[1]Directorate!$A:$B,2,FALSE)</f>
        <v>RAA - ASF Grant</v>
      </c>
      <c r="K411" s="6">
        <f>ROUND(5000,2)</f>
        <v>5000</v>
      </c>
      <c r="L411" s="2">
        <v>401035</v>
      </c>
      <c r="M411" s="2">
        <v>12968</v>
      </c>
    </row>
    <row r="412" spans="1:13" ht="15.75" x14ac:dyDescent="0.25">
      <c r="A412" s="2" t="s">
        <v>511</v>
      </c>
      <c r="B412" s="2" t="s">
        <v>575</v>
      </c>
      <c r="C412" s="2">
        <v>1</v>
      </c>
      <c r="D412" s="2">
        <v>14466</v>
      </c>
      <c r="E412" s="2" t="s">
        <v>576</v>
      </c>
      <c r="F412" s="2">
        <v>270000</v>
      </c>
      <c r="G412" s="2" t="s">
        <v>724</v>
      </c>
      <c r="H412" s="2" t="s">
        <v>725</v>
      </c>
      <c r="I412" s="5" t="s">
        <v>702</v>
      </c>
      <c r="J412" s="2" t="str">
        <f>VLOOKUP(M412,[1]Directorate!$A:$B,2,FALSE)</f>
        <v>IT Infrastructure</v>
      </c>
      <c r="K412" s="6">
        <f>ROUND(50400,2)</f>
        <v>50400</v>
      </c>
      <c r="L412" s="2">
        <v>402001</v>
      </c>
      <c r="M412" s="2">
        <v>11324</v>
      </c>
    </row>
    <row r="413" spans="1:13" ht="15.75" x14ac:dyDescent="0.25">
      <c r="A413" s="2" t="s">
        <v>511</v>
      </c>
      <c r="B413" s="2" t="s">
        <v>577</v>
      </c>
      <c r="C413" s="2">
        <v>1</v>
      </c>
      <c r="D413" s="2">
        <v>176</v>
      </c>
      <c r="E413" s="2" t="s">
        <v>297</v>
      </c>
      <c r="F413" s="2">
        <v>200000</v>
      </c>
      <c r="G413" s="2" t="s">
        <v>740</v>
      </c>
      <c r="H413" s="2" t="s">
        <v>715</v>
      </c>
      <c r="I413" s="5" t="s">
        <v>714</v>
      </c>
      <c r="J413" s="2" t="str">
        <f>VLOOKUP(M413,[1]Directorate!$A:$B,2,FALSE)</f>
        <v>Commercial Standards</v>
      </c>
      <c r="K413" s="6">
        <f>ROUND(9459,2)</f>
        <v>9459</v>
      </c>
      <c r="L413" s="2">
        <v>402401</v>
      </c>
      <c r="M413" s="2">
        <v>10913</v>
      </c>
    </row>
    <row r="414" spans="1:13" ht="15.75" x14ac:dyDescent="0.25">
      <c r="A414" s="2" t="s">
        <v>511</v>
      </c>
      <c r="B414" s="2" t="s">
        <v>578</v>
      </c>
      <c r="C414" s="2">
        <v>1</v>
      </c>
      <c r="D414" s="2">
        <v>11021</v>
      </c>
      <c r="E414" s="2" t="s">
        <v>579</v>
      </c>
      <c r="F414" s="2">
        <v>390000</v>
      </c>
      <c r="G414" s="2" t="s">
        <v>703</v>
      </c>
      <c r="H414" s="2" t="s">
        <v>726</v>
      </c>
      <c r="I414" s="7" t="s">
        <v>705</v>
      </c>
      <c r="J414" s="2" t="e">
        <f>VLOOKUP(M414,[1]Directorate!$A:$B,2,FALSE)</f>
        <v>#N/A</v>
      </c>
      <c r="K414" s="6">
        <f>ROUND(255000,2)</f>
        <v>255000</v>
      </c>
      <c r="L414" s="2">
        <v>200304</v>
      </c>
      <c r="M414" s="2" t="s">
        <v>580</v>
      </c>
    </row>
    <row r="415" spans="1:13" ht="15.75" x14ac:dyDescent="0.25">
      <c r="A415" s="2" t="s">
        <v>511</v>
      </c>
      <c r="B415" s="2" t="s">
        <v>581</v>
      </c>
      <c r="C415" s="2">
        <v>1</v>
      </c>
      <c r="D415" s="2">
        <v>11021</v>
      </c>
      <c r="E415" s="2" t="s">
        <v>579</v>
      </c>
      <c r="F415" s="2">
        <v>390000</v>
      </c>
      <c r="G415" s="2" t="s">
        <v>703</v>
      </c>
      <c r="H415" s="2" t="s">
        <v>726</v>
      </c>
      <c r="I415" s="7" t="s">
        <v>705</v>
      </c>
      <c r="J415" s="2" t="e">
        <f>VLOOKUP(M415,[1]Directorate!$A:$B,2,FALSE)</f>
        <v>#N/A</v>
      </c>
      <c r="K415" s="6">
        <f>ROUND(1000000,2)</f>
        <v>1000000</v>
      </c>
      <c r="L415" s="2">
        <v>200304</v>
      </c>
      <c r="M415" s="2" t="s">
        <v>582</v>
      </c>
    </row>
    <row r="416" spans="1:13" ht="15.75" x14ac:dyDescent="0.25">
      <c r="A416" s="2" t="s">
        <v>511</v>
      </c>
      <c r="B416" s="2" t="s">
        <v>583</v>
      </c>
      <c r="C416" s="2">
        <v>1</v>
      </c>
      <c r="D416" s="2">
        <v>11021</v>
      </c>
      <c r="E416" s="2" t="s">
        <v>579</v>
      </c>
      <c r="F416" s="2">
        <v>390000</v>
      </c>
      <c r="G416" s="2" t="s">
        <v>703</v>
      </c>
      <c r="H416" s="2" t="s">
        <v>726</v>
      </c>
      <c r="I416" s="7" t="s">
        <v>705</v>
      </c>
      <c r="J416" s="2" t="e">
        <f>VLOOKUP(M416,[1]Directorate!$A:$B,2,FALSE)</f>
        <v>#N/A</v>
      </c>
      <c r="K416" s="6">
        <f>ROUND(120000,2)</f>
        <v>120000</v>
      </c>
      <c r="L416" s="2">
        <v>200304</v>
      </c>
      <c r="M416" s="2" t="s">
        <v>584</v>
      </c>
    </row>
    <row r="417" spans="1:13" ht="15.75" x14ac:dyDescent="0.25">
      <c r="A417" s="2" t="s">
        <v>511</v>
      </c>
      <c r="B417" s="2" t="s">
        <v>585</v>
      </c>
      <c r="C417" s="2">
        <v>1</v>
      </c>
      <c r="D417" s="2">
        <v>3529</v>
      </c>
      <c r="E417" s="2" t="s">
        <v>20</v>
      </c>
      <c r="F417" s="2">
        <v>181800</v>
      </c>
      <c r="G417" s="2" t="s">
        <v>706</v>
      </c>
      <c r="H417" s="2" t="s">
        <v>707</v>
      </c>
      <c r="I417" s="5" t="s">
        <v>714</v>
      </c>
      <c r="J417" s="2" t="str">
        <f>VLOOKUP(M417,[1]Directorate!$A:$B,2,FALSE)</f>
        <v>Emergency Tree Works</v>
      </c>
      <c r="K417" s="6">
        <f>ROUND(9570,2)</f>
        <v>9570</v>
      </c>
      <c r="L417" s="2">
        <v>400110</v>
      </c>
      <c r="M417" s="2">
        <v>11168</v>
      </c>
    </row>
    <row r="418" spans="1:13" ht="15.75" x14ac:dyDescent="0.25">
      <c r="A418" s="2" t="s">
        <v>511</v>
      </c>
      <c r="B418" s="2" t="s">
        <v>544</v>
      </c>
      <c r="C418" s="2">
        <v>2</v>
      </c>
      <c r="D418" s="2">
        <v>12793</v>
      </c>
      <c r="E418" s="2" t="s">
        <v>63</v>
      </c>
      <c r="F418" s="2">
        <v>999999</v>
      </c>
      <c r="G418" s="2" t="s">
        <v>715</v>
      </c>
      <c r="H418" s="2" t="s">
        <v>715</v>
      </c>
      <c r="I418" s="5" t="s">
        <v>705</v>
      </c>
      <c r="J418" s="2" t="str">
        <f>VLOOKUP(M418,[1]Directorate!$A:$B,2,FALSE)</f>
        <v>RAA - ASF Grant</v>
      </c>
      <c r="K418" s="6">
        <f>ROUND(1500,2)</f>
        <v>1500</v>
      </c>
      <c r="L418" s="2">
        <v>401035</v>
      </c>
      <c r="M418" s="2">
        <v>12968</v>
      </c>
    </row>
    <row r="419" spans="1:13" ht="15.75" x14ac:dyDescent="0.25">
      <c r="A419" s="2" t="s">
        <v>511</v>
      </c>
      <c r="B419" s="2" t="s">
        <v>561</v>
      </c>
      <c r="C419" s="2">
        <v>2</v>
      </c>
      <c r="D419" s="2">
        <v>16407</v>
      </c>
      <c r="E419" s="2" t="s">
        <v>562</v>
      </c>
      <c r="F419" s="2">
        <v>150000</v>
      </c>
      <c r="G419" s="2" t="s">
        <v>716</v>
      </c>
      <c r="H419" s="2" t="s">
        <v>717</v>
      </c>
      <c r="I419" s="5" t="s">
        <v>714</v>
      </c>
      <c r="J419" s="2" t="str">
        <f>VLOOKUP(M419,[1]Directorate!$A:$B,2,FALSE)</f>
        <v>Commercial Standards</v>
      </c>
      <c r="K419" s="6">
        <f>ROUND(1968,2)</f>
        <v>1968</v>
      </c>
      <c r="L419" s="2">
        <v>401020</v>
      </c>
      <c r="M419" s="2">
        <v>10913</v>
      </c>
    </row>
    <row r="420" spans="1:13" ht="15.75" x14ac:dyDescent="0.25">
      <c r="A420" s="2" t="s">
        <v>511</v>
      </c>
      <c r="B420" s="2" t="s">
        <v>575</v>
      </c>
      <c r="C420" s="2">
        <v>2</v>
      </c>
      <c r="D420" s="2">
        <v>14466</v>
      </c>
      <c r="E420" s="2" t="s">
        <v>576</v>
      </c>
      <c r="F420" s="2">
        <v>270000</v>
      </c>
      <c r="G420" s="2" t="s">
        <v>724</v>
      </c>
      <c r="H420" s="2" t="s">
        <v>725</v>
      </c>
      <c r="I420" s="5" t="s">
        <v>702</v>
      </c>
      <c r="J420" s="2" t="str">
        <f>VLOOKUP(M420,[1]Directorate!$A:$B,2,FALSE)</f>
        <v>IT Infrastructure</v>
      </c>
      <c r="K420" s="6">
        <f>ROUND(20790,2)</f>
        <v>20790</v>
      </c>
      <c r="L420" s="2">
        <v>402001</v>
      </c>
      <c r="M420" s="2">
        <v>11324</v>
      </c>
    </row>
    <row r="421" spans="1:13" ht="15.75" x14ac:dyDescent="0.25">
      <c r="A421" s="2" t="s">
        <v>511</v>
      </c>
      <c r="B421" s="2" t="s">
        <v>575</v>
      </c>
      <c r="C421" s="2">
        <v>3</v>
      </c>
      <c r="D421" s="2">
        <v>14466</v>
      </c>
      <c r="E421" s="2" t="s">
        <v>576</v>
      </c>
      <c r="F421" s="2">
        <v>270000</v>
      </c>
      <c r="G421" s="2" t="s">
        <v>724</v>
      </c>
      <c r="H421" s="2" t="s">
        <v>725</v>
      </c>
      <c r="I421" s="5" t="s">
        <v>702</v>
      </c>
      <c r="J421" s="2" t="str">
        <f>VLOOKUP(M421,[1]Directorate!$A:$B,2,FALSE)</f>
        <v>IT Infrastructure</v>
      </c>
      <c r="K421" s="6">
        <f>ROUND(11520,2)</f>
        <v>11520</v>
      </c>
      <c r="L421" s="2">
        <v>402001</v>
      </c>
      <c r="M421" s="2">
        <v>11324</v>
      </c>
    </row>
    <row r="422" spans="1:13" ht="15.75" x14ac:dyDescent="0.25">
      <c r="A422" s="2" t="s">
        <v>497</v>
      </c>
      <c r="B422" s="2" t="s">
        <v>537</v>
      </c>
      <c r="C422" s="2">
        <v>1</v>
      </c>
      <c r="D422" s="2">
        <v>14034</v>
      </c>
      <c r="E422" s="2" t="s">
        <v>538</v>
      </c>
      <c r="F422" s="2">
        <v>999999</v>
      </c>
      <c r="G422" s="2" t="s">
        <v>715</v>
      </c>
      <c r="H422" s="2" t="s">
        <v>715</v>
      </c>
      <c r="I422" s="5" t="s">
        <v>702</v>
      </c>
      <c r="J422" s="2" t="str">
        <f>VLOOKUP(M422,[1]Directorate!$A:$B,2,FALSE)</f>
        <v>U-Misc Fin-Corp Mang</v>
      </c>
      <c r="K422" s="6">
        <f>ROUND(50000,2)</f>
        <v>50000</v>
      </c>
      <c r="L422" s="2">
        <v>401035</v>
      </c>
      <c r="M422" s="2">
        <v>10971</v>
      </c>
    </row>
    <row r="423" spans="1:13" ht="15.75" x14ac:dyDescent="0.25">
      <c r="A423" s="2" t="s">
        <v>497</v>
      </c>
      <c r="B423" s="2" t="s">
        <v>588</v>
      </c>
      <c r="C423" s="2">
        <v>1</v>
      </c>
      <c r="D423" s="2">
        <v>35</v>
      </c>
      <c r="E423" s="2" t="s">
        <v>22</v>
      </c>
      <c r="F423" s="2">
        <v>270000</v>
      </c>
      <c r="G423" s="2" t="s">
        <v>724</v>
      </c>
      <c r="H423" s="2" t="s">
        <v>725</v>
      </c>
      <c r="I423" s="7" t="s">
        <v>702</v>
      </c>
      <c r="J423" s="2" t="e">
        <f>VLOOKUP(M423,[1]Directorate!$A:$B,2,FALSE)</f>
        <v>#N/A</v>
      </c>
      <c r="K423" s="6">
        <f>ROUND(5880,2)</f>
        <v>5880</v>
      </c>
      <c r="L423" s="2">
        <v>402001</v>
      </c>
      <c r="M423" s="2" t="s">
        <v>200</v>
      </c>
    </row>
    <row r="424" spans="1:13" ht="15.75" x14ac:dyDescent="0.25">
      <c r="A424" s="2" t="s">
        <v>497</v>
      </c>
      <c r="B424" s="2" t="s">
        <v>589</v>
      </c>
      <c r="C424" s="2">
        <v>1</v>
      </c>
      <c r="D424" s="2">
        <v>3529</v>
      </c>
      <c r="E424" s="2" t="s">
        <v>20</v>
      </c>
      <c r="F424" s="2">
        <v>181600</v>
      </c>
      <c r="G424" s="2" t="s">
        <v>769</v>
      </c>
      <c r="H424" s="2" t="s">
        <v>751</v>
      </c>
      <c r="I424" s="5" t="s">
        <v>714</v>
      </c>
      <c r="J424" s="2" t="str">
        <f>VLOOKUP(M424,[1]Directorate!$A:$B,2,FALSE)</f>
        <v>Drainage Works</v>
      </c>
      <c r="K424" s="6">
        <f>ROUND(100000,2)</f>
        <v>100000</v>
      </c>
      <c r="L424" s="2">
        <v>201606</v>
      </c>
      <c r="M424" s="2">
        <v>12681</v>
      </c>
    </row>
    <row r="425" spans="1:13" ht="15.75" x14ac:dyDescent="0.25">
      <c r="A425" s="2" t="s">
        <v>497</v>
      </c>
      <c r="B425" s="2" t="s">
        <v>590</v>
      </c>
      <c r="C425" s="2">
        <v>1</v>
      </c>
      <c r="D425" s="2">
        <v>7025</v>
      </c>
      <c r="E425" s="2" t="s">
        <v>221</v>
      </c>
      <c r="F425" s="2">
        <v>150000</v>
      </c>
      <c r="G425" s="2" t="s">
        <v>716</v>
      </c>
      <c r="H425" s="2" t="s">
        <v>717</v>
      </c>
      <c r="I425" s="5" t="s">
        <v>714</v>
      </c>
      <c r="J425" s="2" t="str">
        <f>VLOOKUP(M425,[1]Directorate!$A:$B,2,FALSE)</f>
        <v>Property Client Acct</v>
      </c>
      <c r="K425" s="6">
        <f>ROUND(19000,2)</f>
        <v>19000</v>
      </c>
      <c r="L425" s="2">
        <v>401020</v>
      </c>
      <c r="M425" s="2">
        <v>11137</v>
      </c>
    </row>
    <row r="426" spans="1:13" ht="15.75" x14ac:dyDescent="0.25">
      <c r="A426" s="2" t="s">
        <v>497</v>
      </c>
      <c r="B426" s="2" t="s">
        <v>591</v>
      </c>
      <c r="C426" s="2">
        <v>1</v>
      </c>
      <c r="D426" s="2">
        <v>7025</v>
      </c>
      <c r="E426" s="2" t="s">
        <v>221</v>
      </c>
      <c r="F426" s="2">
        <v>150000</v>
      </c>
      <c r="G426" s="2" t="s">
        <v>716</v>
      </c>
      <c r="H426" s="2" t="s">
        <v>717</v>
      </c>
      <c r="I426" s="5" t="s">
        <v>714</v>
      </c>
      <c r="J426" s="2" t="str">
        <f>VLOOKUP(M426,[1]Directorate!$A:$B,2,FALSE)</f>
        <v>Property Client Acct</v>
      </c>
      <c r="K426" s="6">
        <f>ROUND(7500,2)</f>
        <v>7500</v>
      </c>
      <c r="L426" s="2">
        <v>401020</v>
      </c>
      <c r="M426" s="2">
        <v>11137</v>
      </c>
    </row>
    <row r="427" spans="1:13" ht="15.75" x14ac:dyDescent="0.25">
      <c r="A427" s="2" t="s">
        <v>497</v>
      </c>
      <c r="B427" s="2" t="s">
        <v>592</v>
      </c>
      <c r="C427" s="2">
        <v>1</v>
      </c>
      <c r="D427" s="2">
        <v>16211</v>
      </c>
      <c r="E427" s="2" t="s">
        <v>547</v>
      </c>
      <c r="F427" s="2">
        <v>150000</v>
      </c>
      <c r="G427" s="2" t="s">
        <v>716</v>
      </c>
      <c r="H427" s="2" t="s">
        <v>717</v>
      </c>
      <c r="I427" s="5" t="s">
        <v>702</v>
      </c>
      <c r="J427" s="2" t="str">
        <f>VLOOKUP(M427,[1]Directorate!$A:$B,2,FALSE)</f>
        <v>Stockroom</v>
      </c>
      <c r="K427" s="6">
        <f>ROUND(9000,2)</f>
        <v>9000</v>
      </c>
      <c r="L427" s="2">
        <v>401007</v>
      </c>
      <c r="M427" s="2">
        <v>13203</v>
      </c>
    </row>
    <row r="428" spans="1:13" ht="15.75" x14ac:dyDescent="0.25">
      <c r="A428" s="2" t="s">
        <v>497</v>
      </c>
      <c r="B428" s="2" t="s">
        <v>593</v>
      </c>
      <c r="C428" s="2">
        <v>1</v>
      </c>
      <c r="D428" s="2">
        <v>9453</v>
      </c>
      <c r="E428" s="2" t="s">
        <v>594</v>
      </c>
      <c r="F428" s="2">
        <v>390000</v>
      </c>
      <c r="G428" s="2" t="s">
        <v>703</v>
      </c>
      <c r="H428" s="2" t="s">
        <v>726</v>
      </c>
      <c r="I428" s="7" t="s">
        <v>714</v>
      </c>
      <c r="J428" s="2" t="e">
        <f>VLOOKUP(M428,[1]Directorate!$A:$B,2,FALSE)</f>
        <v>#N/A</v>
      </c>
      <c r="K428" s="6">
        <f>ROUND(14000,2)</f>
        <v>14000</v>
      </c>
      <c r="L428" s="2">
        <v>200304</v>
      </c>
      <c r="M428" s="2" t="s">
        <v>595</v>
      </c>
    </row>
    <row r="429" spans="1:13" ht="15.75" x14ac:dyDescent="0.25">
      <c r="A429" s="2" t="s">
        <v>497</v>
      </c>
      <c r="B429" s="2" t="s">
        <v>597</v>
      </c>
      <c r="C429" s="2">
        <v>1</v>
      </c>
      <c r="D429" s="2">
        <v>3529</v>
      </c>
      <c r="E429" s="2" t="s">
        <v>20</v>
      </c>
      <c r="F429" s="2">
        <v>181800</v>
      </c>
      <c r="G429" s="2" t="s">
        <v>706</v>
      </c>
      <c r="H429" s="2" t="s">
        <v>707</v>
      </c>
      <c r="I429" s="5" t="s">
        <v>714</v>
      </c>
      <c r="J429" s="2" t="str">
        <f>VLOOKUP(M429,[1]Directorate!$A:$B,2,FALSE)</f>
        <v>Emergency Tree Works</v>
      </c>
      <c r="K429" s="6">
        <f>ROUND(5480,2)</f>
        <v>5480</v>
      </c>
      <c r="L429" s="2">
        <v>400110</v>
      </c>
      <c r="M429" s="2">
        <v>11168</v>
      </c>
    </row>
    <row r="430" spans="1:13" ht="15.75" x14ac:dyDescent="0.25">
      <c r="A430" s="2" t="s">
        <v>497</v>
      </c>
      <c r="B430" s="2" t="s">
        <v>606</v>
      </c>
      <c r="C430" s="2">
        <v>1</v>
      </c>
      <c r="D430" s="2">
        <v>16343</v>
      </c>
      <c r="E430" s="2" t="s">
        <v>607</v>
      </c>
      <c r="F430" s="2">
        <v>260000</v>
      </c>
      <c r="G430" s="2" t="s">
        <v>720</v>
      </c>
      <c r="H430" s="2" t="s">
        <v>721</v>
      </c>
      <c r="I430" s="5" t="s">
        <v>705</v>
      </c>
      <c r="J430" s="2" t="str">
        <f>VLOOKUP(M430,[1]Directorate!$A:$B,2,FALSE)</f>
        <v>Highfields PRU</v>
      </c>
      <c r="K430" s="6">
        <f>ROUND(11050,2)</f>
        <v>11050</v>
      </c>
      <c r="L430" s="2">
        <v>102020</v>
      </c>
      <c r="M430" s="2">
        <v>10329</v>
      </c>
    </row>
    <row r="431" spans="1:13" ht="15.75" x14ac:dyDescent="0.25">
      <c r="A431" s="2" t="s">
        <v>468</v>
      </c>
      <c r="B431" s="2" t="s">
        <v>601</v>
      </c>
      <c r="C431" s="2">
        <v>1</v>
      </c>
      <c r="D431" s="2">
        <v>2067</v>
      </c>
      <c r="E431" s="2" t="s">
        <v>503</v>
      </c>
      <c r="F431" s="2">
        <v>171012</v>
      </c>
      <c r="G431" s="2" t="s">
        <v>770</v>
      </c>
      <c r="H431" s="2" t="s">
        <v>715</v>
      </c>
      <c r="I431" s="5" t="s">
        <v>714</v>
      </c>
      <c r="J431" s="2" t="str">
        <f>VLOOKUP(M431,[1]Directorate!$A:$B,2,FALSE)</f>
        <v>Contin Educ Service</v>
      </c>
      <c r="K431" s="6">
        <f>ROUND(10000,2)</f>
        <v>10000</v>
      </c>
      <c r="L431" s="2">
        <v>401012</v>
      </c>
      <c r="M431" s="2">
        <v>10511</v>
      </c>
    </row>
    <row r="432" spans="1:13" ht="15.75" x14ac:dyDescent="0.25">
      <c r="A432" s="2" t="s">
        <v>468</v>
      </c>
      <c r="B432" s="2" t="s">
        <v>602</v>
      </c>
      <c r="C432" s="2">
        <v>1</v>
      </c>
      <c r="D432" s="2">
        <v>4344</v>
      </c>
      <c r="E432" s="2" t="s">
        <v>434</v>
      </c>
      <c r="F432" s="2">
        <v>171012</v>
      </c>
      <c r="G432" s="2" t="s">
        <v>770</v>
      </c>
      <c r="H432" s="2" t="s">
        <v>715</v>
      </c>
      <c r="I432" s="5" t="s">
        <v>714</v>
      </c>
      <c r="J432" s="2" t="str">
        <f>VLOOKUP(M432,[1]Directorate!$A:$B,2,FALSE)</f>
        <v>Contin Educ Service</v>
      </c>
      <c r="K432" s="6">
        <f>ROUND(20000,2)</f>
        <v>20000</v>
      </c>
      <c r="L432" s="2">
        <v>401012</v>
      </c>
      <c r="M432" s="2">
        <v>10511</v>
      </c>
    </row>
    <row r="433" spans="1:13" ht="15.75" x14ac:dyDescent="0.25">
      <c r="A433" s="2" t="s">
        <v>468</v>
      </c>
      <c r="B433" s="2" t="s">
        <v>603</v>
      </c>
      <c r="C433" s="2">
        <v>1</v>
      </c>
      <c r="D433" s="2">
        <v>5570</v>
      </c>
      <c r="E433" s="2" t="s">
        <v>604</v>
      </c>
      <c r="F433" s="2">
        <v>171012</v>
      </c>
      <c r="G433" s="2" t="s">
        <v>770</v>
      </c>
      <c r="H433" s="2" t="s">
        <v>715</v>
      </c>
      <c r="I433" s="5" t="s">
        <v>714</v>
      </c>
      <c r="J433" s="2" t="str">
        <f>VLOOKUP(M433,[1]Directorate!$A:$B,2,FALSE)</f>
        <v>Contin Educ Service</v>
      </c>
      <c r="K433" s="6">
        <f>ROUND(15000,2)</f>
        <v>15000</v>
      </c>
      <c r="L433" s="2">
        <v>401012</v>
      </c>
      <c r="M433" s="2">
        <v>10511</v>
      </c>
    </row>
    <row r="434" spans="1:13" ht="15.75" x14ac:dyDescent="0.25">
      <c r="A434" s="2" t="s">
        <v>468</v>
      </c>
      <c r="B434" s="2" t="s">
        <v>605</v>
      </c>
      <c r="C434" s="2">
        <v>1</v>
      </c>
      <c r="D434" s="2">
        <v>14343</v>
      </c>
      <c r="E434" s="2" t="s">
        <v>212</v>
      </c>
      <c r="F434" s="2">
        <v>171012</v>
      </c>
      <c r="G434" s="2" t="s">
        <v>770</v>
      </c>
      <c r="H434" s="2" t="s">
        <v>715</v>
      </c>
      <c r="I434" s="5" t="s">
        <v>714</v>
      </c>
      <c r="J434" s="2" t="str">
        <f>VLOOKUP(M434,[1]Directorate!$A:$B,2,FALSE)</f>
        <v>Contin Educ Service</v>
      </c>
      <c r="K434" s="6">
        <f>ROUND(10000,2)</f>
        <v>10000</v>
      </c>
      <c r="L434" s="2">
        <v>401012</v>
      </c>
      <c r="M434" s="2">
        <v>10511</v>
      </c>
    </row>
    <row r="435" spans="1:13" ht="15.75" x14ac:dyDescent="0.25">
      <c r="A435" s="2" t="s">
        <v>505</v>
      </c>
      <c r="B435" s="2" t="s">
        <v>598</v>
      </c>
      <c r="C435" s="2">
        <v>1</v>
      </c>
      <c r="D435" s="2">
        <v>178</v>
      </c>
      <c r="E435" s="2" t="s">
        <v>599</v>
      </c>
      <c r="F435" s="2">
        <v>999999</v>
      </c>
      <c r="G435" s="2" t="s">
        <v>746</v>
      </c>
      <c r="H435" s="2" t="s">
        <v>746</v>
      </c>
      <c r="I435" s="5" t="s">
        <v>702</v>
      </c>
      <c r="J435" s="2" t="str">
        <f>VLOOKUP(M435,[1]Directorate!$A:$B,2,FALSE)</f>
        <v>U-Probation Serv-Gen</v>
      </c>
      <c r="K435" s="6">
        <f>ROUND(8457.62,2)</f>
        <v>8457.6200000000008</v>
      </c>
      <c r="L435" s="2">
        <v>500303</v>
      </c>
      <c r="M435" s="2">
        <v>10966</v>
      </c>
    </row>
    <row r="436" spans="1:13" ht="15.75" x14ac:dyDescent="0.25">
      <c r="A436" s="2" t="s">
        <v>505</v>
      </c>
      <c r="B436" s="2" t="s">
        <v>613</v>
      </c>
      <c r="C436" s="2">
        <v>1</v>
      </c>
      <c r="D436" s="2">
        <v>6967</v>
      </c>
      <c r="E436" s="2" t="s">
        <v>53</v>
      </c>
      <c r="F436" s="2">
        <v>390000</v>
      </c>
      <c r="G436" s="2" t="s">
        <v>703</v>
      </c>
      <c r="H436" s="2" t="s">
        <v>704</v>
      </c>
      <c r="I436" s="7" t="s">
        <v>705</v>
      </c>
      <c r="J436" s="2" t="e">
        <f>VLOOKUP(M436,[1]Directorate!$A:$B,2,FALSE)</f>
        <v>#N/A</v>
      </c>
      <c r="K436" s="6">
        <f>ROUND(19967.5,2)</f>
        <v>19967.5</v>
      </c>
      <c r="L436" s="2">
        <v>200123</v>
      </c>
      <c r="M436" s="2" t="s">
        <v>322</v>
      </c>
    </row>
    <row r="437" spans="1:13" ht="15.75" x14ac:dyDescent="0.25">
      <c r="A437" s="2" t="s">
        <v>505</v>
      </c>
      <c r="B437" s="2" t="s">
        <v>614</v>
      </c>
      <c r="C437" s="2">
        <v>1</v>
      </c>
      <c r="D437" s="2">
        <v>12298</v>
      </c>
      <c r="E437" s="2" t="s">
        <v>172</v>
      </c>
      <c r="F437" s="2">
        <v>999999</v>
      </c>
      <c r="G437" s="2" t="s">
        <v>715</v>
      </c>
      <c r="H437" s="2" t="s">
        <v>715</v>
      </c>
      <c r="I437" s="5" t="s">
        <v>705</v>
      </c>
      <c r="J437" s="2" t="str">
        <f>VLOOKUP(M437,[1]Directorate!$A:$B,2,FALSE)</f>
        <v>RAA - ASF Grant</v>
      </c>
      <c r="K437" s="6">
        <f>ROUND(5000,2)</f>
        <v>5000</v>
      </c>
      <c r="L437" s="2">
        <v>401035</v>
      </c>
      <c r="M437" s="2">
        <v>12968</v>
      </c>
    </row>
    <row r="438" spans="1:13" ht="15.75" x14ac:dyDescent="0.25">
      <c r="A438" s="2" t="s">
        <v>505</v>
      </c>
      <c r="B438" s="2" t="s">
        <v>615</v>
      </c>
      <c r="C438" s="2">
        <v>1</v>
      </c>
      <c r="D438" s="2">
        <v>11242</v>
      </c>
      <c r="E438" s="2" t="s">
        <v>62</v>
      </c>
      <c r="F438" s="2">
        <v>999999</v>
      </c>
      <c r="G438" s="2" t="s">
        <v>715</v>
      </c>
      <c r="H438" s="2" t="s">
        <v>715</v>
      </c>
      <c r="I438" s="5" t="s">
        <v>705</v>
      </c>
      <c r="J438" s="2" t="str">
        <f>VLOOKUP(M438,[1]Directorate!$A:$B,2,FALSE)</f>
        <v>RAA - ASF Grant</v>
      </c>
      <c r="K438" s="6">
        <f>ROUND(5000,2)</f>
        <v>5000</v>
      </c>
      <c r="L438" s="2">
        <v>401035</v>
      </c>
      <c r="M438" s="2">
        <v>12968</v>
      </c>
    </row>
    <row r="439" spans="1:13" ht="15.75" x14ac:dyDescent="0.25">
      <c r="A439" s="2" t="s">
        <v>505</v>
      </c>
      <c r="B439" s="2" t="s">
        <v>616</v>
      </c>
      <c r="C439" s="2">
        <v>1</v>
      </c>
      <c r="D439" s="2">
        <v>12675</v>
      </c>
      <c r="E439" s="2" t="s">
        <v>52</v>
      </c>
      <c r="F439" s="2">
        <v>999999</v>
      </c>
      <c r="G439" s="2" t="s">
        <v>715</v>
      </c>
      <c r="H439" s="2" t="s">
        <v>715</v>
      </c>
      <c r="I439" s="5" t="s">
        <v>705</v>
      </c>
      <c r="J439" s="2" t="str">
        <f>VLOOKUP(M439,[1]Directorate!$A:$B,2,FALSE)</f>
        <v>RAA - ASF Grant</v>
      </c>
      <c r="K439" s="6">
        <f>ROUND(5000,2)</f>
        <v>5000</v>
      </c>
      <c r="L439" s="2">
        <v>401035</v>
      </c>
      <c r="M439" s="2">
        <v>12968</v>
      </c>
    </row>
    <row r="440" spans="1:13" ht="15.75" x14ac:dyDescent="0.25">
      <c r="A440" s="2" t="s">
        <v>505</v>
      </c>
      <c r="B440" s="2" t="s">
        <v>617</v>
      </c>
      <c r="C440" s="2">
        <v>1</v>
      </c>
      <c r="D440" s="2">
        <v>35</v>
      </c>
      <c r="E440" s="2" t="s">
        <v>22</v>
      </c>
      <c r="F440" s="2">
        <v>270000</v>
      </c>
      <c r="G440" s="2" t="s">
        <v>724</v>
      </c>
      <c r="H440" s="2" t="s">
        <v>725</v>
      </c>
      <c r="I440" s="5" t="s">
        <v>705</v>
      </c>
      <c r="J440" s="2" t="str">
        <f>VLOOKUP(M440,[1]Directorate!$A:$B,2,FALSE)</f>
        <v>SC - Care Matters</v>
      </c>
      <c r="K440" s="6">
        <f>ROUND(6230,2)</f>
        <v>6230</v>
      </c>
      <c r="L440" s="2">
        <v>402001</v>
      </c>
      <c r="M440" s="2">
        <v>11768</v>
      </c>
    </row>
    <row r="441" spans="1:13" ht="15.75" x14ac:dyDescent="0.25">
      <c r="A441" s="2" t="s">
        <v>505</v>
      </c>
      <c r="B441" s="2" t="s">
        <v>618</v>
      </c>
      <c r="C441" s="2">
        <v>1</v>
      </c>
      <c r="D441" s="2">
        <v>3017</v>
      </c>
      <c r="E441" s="2" t="s">
        <v>509</v>
      </c>
      <c r="F441" s="2">
        <v>390000</v>
      </c>
      <c r="G441" s="2" t="s">
        <v>713</v>
      </c>
      <c r="H441" s="2" t="s">
        <v>713</v>
      </c>
      <c r="I441" s="7" t="s">
        <v>714</v>
      </c>
      <c r="J441" s="2" t="e">
        <f>VLOOKUP(M441,[1]Directorate!$A:$B,2,FALSE)</f>
        <v>#N/A</v>
      </c>
      <c r="K441" s="6">
        <f>ROUND(13595.88,2)</f>
        <v>13595.88</v>
      </c>
      <c r="L441" s="2">
        <v>401600</v>
      </c>
      <c r="M441" s="2" t="s">
        <v>619</v>
      </c>
    </row>
    <row r="442" spans="1:13" ht="15.75" x14ac:dyDescent="0.25">
      <c r="A442" s="2" t="s">
        <v>596</v>
      </c>
      <c r="B442" s="2" t="s">
        <v>622</v>
      </c>
      <c r="C442" s="2">
        <v>1</v>
      </c>
      <c r="D442" s="2">
        <v>8646</v>
      </c>
      <c r="E442" s="2" t="s">
        <v>623</v>
      </c>
      <c r="F442" s="2">
        <v>350000</v>
      </c>
      <c r="G442" s="2" t="s">
        <v>771</v>
      </c>
      <c r="H442" s="2" t="s">
        <v>772</v>
      </c>
      <c r="I442" s="5" t="s">
        <v>714</v>
      </c>
      <c r="J442" s="2" t="str">
        <f>VLOOKUP(M442,[1]Directorate!$A:$B,2,FALSE)</f>
        <v>Struc Test of Column</v>
      </c>
      <c r="K442" s="6">
        <f>ROUND(12578,2)</f>
        <v>12578</v>
      </c>
      <c r="L442" s="2">
        <v>201202</v>
      </c>
      <c r="M442" s="2">
        <v>11995</v>
      </c>
    </row>
    <row r="443" spans="1:13" ht="15.75" x14ac:dyDescent="0.25">
      <c r="A443" s="2" t="s">
        <v>596</v>
      </c>
      <c r="B443" s="2" t="s">
        <v>622</v>
      </c>
      <c r="C443" s="2">
        <v>2</v>
      </c>
      <c r="D443" s="2">
        <v>8646</v>
      </c>
      <c r="E443" s="2" t="s">
        <v>623</v>
      </c>
      <c r="F443" s="2">
        <v>350000</v>
      </c>
      <c r="G443" s="2" t="s">
        <v>771</v>
      </c>
      <c r="H443" s="2" t="s">
        <v>772</v>
      </c>
      <c r="I443" s="5" t="s">
        <v>714</v>
      </c>
      <c r="J443" s="2" t="str">
        <f>VLOOKUP(M443,[1]Directorate!$A:$B,2,FALSE)</f>
        <v>Struc Test of Column</v>
      </c>
      <c r="K443" s="6">
        <f>ROUND(6811.5,2)</f>
        <v>6811.5</v>
      </c>
      <c r="L443" s="2">
        <v>201202</v>
      </c>
      <c r="M443" s="2">
        <v>11995</v>
      </c>
    </row>
    <row r="444" spans="1:13" ht="15.75" x14ac:dyDescent="0.25">
      <c r="A444" s="2" t="s">
        <v>596</v>
      </c>
      <c r="B444" s="2" t="s">
        <v>622</v>
      </c>
      <c r="C444" s="2">
        <v>3</v>
      </c>
      <c r="D444" s="2">
        <v>8646</v>
      </c>
      <c r="E444" s="2" t="s">
        <v>623</v>
      </c>
      <c r="F444" s="2">
        <v>350000</v>
      </c>
      <c r="G444" s="2" t="s">
        <v>771</v>
      </c>
      <c r="H444" s="2" t="s">
        <v>772</v>
      </c>
      <c r="I444" s="5" t="s">
        <v>714</v>
      </c>
      <c r="J444" s="2" t="str">
        <f>VLOOKUP(M444,[1]Directorate!$A:$B,2,FALSE)</f>
        <v>Struc Test of Column</v>
      </c>
      <c r="K444" s="6">
        <f>ROUND(4352.25,2)</f>
        <v>4352.25</v>
      </c>
      <c r="L444" s="2">
        <v>201202</v>
      </c>
      <c r="M444" s="2">
        <v>11995</v>
      </c>
    </row>
    <row r="445" spans="1:13" ht="15.75" x14ac:dyDescent="0.25">
      <c r="A445" s="2" t="s">
        <v>483</v>
      </c>
      <c r="B445" s="2" t="s">
        <v>574</v>
      </c>
      <c r="C445" s="2">
        <v>1</v>
      </c>
      <c r="D445" s="2">
        <v>6116</v>
      </c>
      <c r="E445" s="2" t="s">
        <v>436</v>
      </c>
      <c r="F445" s="2">
        <v>150000</v>
      </c>
      <c r="G445" s="2" t="s">
        <v>716</v>
      </c>
      <c r="H445" s="2" t="s">
        <v>717</v>
      </c>
      <c r="I445" s="5" t="s">
        <v>714</v>
      </c>
      <c r="J445" s="2" t="str">
        <f>VLOOKUP(M445,[1]Directorate!$A:$B,2,FALSE)</f>
        <v>MS Design Frnwk Staf</v>
      </c>
      <c r="K445" s="6">
        <f>ROUND(49911.06,2)</f>
        <v>49911.06</v>
      </c>
      <c r="L445" s="2">
        <v>401020</v>
      </c>
      <c r="M445" s="2">
        <v>13107</v>
      </c>
    </row>
    <row r="446" spans="1:13" ht="15.75" x14ac:dyDescent="0.25">
      <c r="A446" s="2" t="s">
        <v>483</v>
      </c>
      <c r="B446" s="2" t="s">
        <v>600</v>
      </c>
      <c r="C446" s="2">
        <v>1</v>
      </c>
      <c r="D446" s="2">
        <v>683</v>
      </c>
      <c r="E446" s="2" t="s">
        <v>274</v>
      </c>
      <c r="F446" s="2">
        <v>150000</v>
      </c>
      <c r="G446" s="2" t="s">
        <v>716</v>
      </c>
      <c r="H446" s="2" t="s">
        <v>717</v>
      </c>
      <c r="I446" s="5" t="s">
        <v>714</v>
      </c>
      <c r="J446" s="2" t="str">
        <f>VLOOKUP(M446,[1]Directorate!$A:$B,2,FALSE)</f>
        <v>MS Design Frnwk Staf</v>
      </c>
      <c r="K446" s="6">
        <f>ROUND(72965.07,2)</f>
        <v>72965.070000000007</v>
      </c>
      <c r="L446" s="2">
        <v>401020</v>
      </c>
      <c r="M446" s="2">
        <v>13107</v>
      </c>
    </row>
    <row r="447" spans="1:13" ht="15.75" x14ac:dyDescent="0.25">
      <c r="A447" s="2" t="s">
        <v>483</v>
      </c>
      <c r="B447" s="2" t="s">
        <v>624</v>
      </c>
      <c r="C447" s="2">
        <v>1</v>
      </c>
      <c r="D447" s="2">
        <v>11009</v>
      </c>
      <c r="E447" s="2" t="s">
        <v>625</v>
      </c>
      <c r="F447" s="2">
        <v>261500</v>
      </c>
      <c r="G447" s="2" t="s">
        <v>718</v>
      </c>
      <c r="H447" s="2" t="s">
        <v>715</v>
      </c>
      <c r="I447" s="5" t="s">
        <v>705</v>
      </c>
      <c r="J447" s="2" t="str">
        <f>VLOOKUP(M447,[1]Directorate!$A:$B,2,FALSE)</f>
        <v>SEN Specific support</v>
      </c>
      <c r="K447" s="6">
        <f>ROUND(10800,2)</f>
        <v>10800</v>
      </c>
      <c r="L447" s="2">
        <v>401024</v>
      </c>
      <c r="M447" s="2">
        <v>10300</v>
      </c>
    </row>
    <row r="448" spans="1:13" ht="15.75" x14ac:dyDescent="0.25">
      <c r="A448" s="2" t="s">
        <v>483</v>
      </c>
      <c r="B448" s="2" t="s">
        <v>626</v>
      </c>
      <c r="C448" s="2">
        <v>1</v>
      </c>
      <c r="D448" s="2">
        <v>9612</v>
      </c>
      <c r="E448" s="2" t="s">
        <v>627</v>
      </c>
      <c r="F448" s="2">
        <v>150000</v>
      </c>
      <c r="G448" s="2" t="s">
        <v>716</v>
      </c>
      <c r="H448" s="2" t="s">
        <v>717</v>
      </c>
      <c r="I448" s="5" t="s">
        <v>714</v>
      </c>
      <c r="J448" s="2" t="str">
        <f>VLOOKUP(M448,[1]Directorate!$A:$B,2,FALSE)</f>
        <v>Planning</v>
      </c>
      <c r="K448" s="6">
        <f>ROUND(20000,2)</f>
        <v>20000</v>
      </c>
      <c r="L448" s="2">
        <v>401007</v>
      </c>
      <c r="M448" s="2">
        <v>12150</v>
      </c>
    </row>
    <row r="449" spans="1:13" ht="15.75" x14ac:dyDescent="0.25">
      <c r="A449" s="2" t="s">
        <v>483</v>
      </c>
      <c r="B449" s="2" t="s">
        <v>628</v>
      </c>
      <c r="C449" s="2">
        <v>1</v>
      </c>
      <c r="D449" s="2">
        <v>3529</v>
      </c>
      <c r="E449" s="2" t="s">
        <v>20</v>
      </c>
      <c r="F449" s="2">
        <v>390000</v>
      </c>
      <c r="G449" s="2" t="s">
        <v>713</v>
      </c>
      <c r="H449" s="2" t="s">
        <v>713</v>
      </c>
      <c r="I449" s="7" t="s">
        <v>714</v>
      </c>
      <c r="J449" s="2" t="e">
        <f>VLOOKUP(M449,[1]Directorate!$A:$B,2,FALSE)</f>
        <v>#N/A</v>
      </c>
      <c r="K449" s="6">
        <f>ROUND(36119.07,2)</f>
        <v>36119.07</v>
      </c>
      <c r="L449" s="2">
        <v>401600</v>
      </c>
      <c r="M449" s="2" t="s">
        <v>629</v>
      </c>
    </row>
    <row r="450" spans="1:13" ht="15.75" x14ac:dyDescent="0.25">
      <c r="A450" s="2" t="s">
        <v>483</v>
      </c>
      <c r="B450" s="2" t="s">
        <v>630</v>
      </c>
      <c r="C450" s="2">
        <v>1</v>
      </c>
      <c r="D450" s="2">
        <v>35</v>
      </c>
      <c r="E450" s="2" t="s">
        <v>22</v>
      </c>
      <c r="F450" s="2">
        <v>181800</v>
      </c>
      <c r="G450" s="2" t="s">
        <v>706</v>
      </c>
      <c r="H450" s="2" t="s">
        <v>707</v>
      </c>
      <c r="I450" s="5" t="s">
        <v>702</v>
      </c>
      <c r="J450" s="2" t="str">
        <f>VLOOKUP(M450,[1]Directorate!$A:$B,2,FALSE)</f>
        <v>IT AVA Non - SLA</v>
      </c>
      <c r="K450" s="6">
        <f>ROUND(2175,2)</f>
        <v>2175</v>
      </c>
      <c r="L450" s="2">
        <v>400110</v>
      </c>
      <c r="M450" s="2">
        <v>13001</v>
      </c>
    </row>
    <row r="451" spans="1:13" ht="15.75" x14ac:dyDescent="0.25">
      <c r="A451" s="2" t="s">
        <v>483</v>
      </c>
      <c r="B451" s="2" t="s">
        <v>633</v>
      </c>
      <c r="C451" s="2">
        <v>1</v>
      </c>
      <c r="D451" s="2">
        <v>1352</v>
      </c>
      <c r="E451" s="2" t="s">
        <v>289</v>
      </c>
      <c r="F451" s="2">
        <v>150000</v>
      </c>
      <c r="G451" s="2" t="s">
        <v>716</v>
      </c>
      <c r="H451" s="2" t="s">
        <v>717</v>
      </c>
      <c r="I451" s="5" t="s">
        <v>714</v>
      </c>
      <c r="J451" s="2" t="str">
        <f>VLOOKUP(M451,[1]Directorate!$A:$B,2,FALSE)</f>
        <v>Planning</v>
      </c>
      <c r="K451" s="6">
        <f>ROUND(10000,2)</f>
        <v>10000</v>
      </c>
      <c r="L451" s="2">
        <v>401007</v>
      </c>
      <c r="M451" s="2">
        <v>12150</v>
      </c>
    </row>
    <row r="452" spans="1:13" ht="15.75" x14ac:dyDescent="0.25">
      <c r="A452" s="2" t="s">
        <v>483</v>
      </c>
      <c r="B452" s="2" t="s">
        <v>634</v>
      </c>
      <c r="C452" s="2">
        <v>1</v>
      </c>
      <c r="D452" s="2">
        <v>865</v>
      </c>
      <c r="E452" s="2" t="s">
        <v>635</v>
      </c>
      <c r="F452" s="2">
        <v>390000</v>
      </c>
      <c r="G452" s="2" t="s">
        <v>713</v>
      </c>
      <c r="H452" s="2" t="s">
        <v>713</v>
      </c>
      <c r="I452" s="7" t="s">
        <v>714</v>
      </c>
      <c r="J452" s="2" t="e">
        <f>VLOOKUP(M452,[1]Directorate!$A:$B,2,FALSE)</f>
        <v>#N/A</v>
      </c>
      <c r="K452" s="6">
        <f>ROUND(20000,2)</f>
        <v>20000</v>
      </c>
      <c r="L452" s="2">
        <v>401600</v>
      </c>
      <c r="M452" s="2" t="s">
        <v>636</v>
      </c>
    </row>
    <row r="453" spans="1:13" ht="15.75" x14ac:dyDescent="0.25">
      <c r="A453" s="2" t="s">
        <v>483</v>
      </c>
      <c r="B453" s="2" t="s">
        <v>630</v>
      </c>
      <c r="C453" s="2">
        <v>2</v>
      </c>
      <c r="D453" s="2">
        <v>35</v>
      </c>
      <c r="E453" s="2" t="s">
        <v>22</v>
      </c>
      <c r="F453" s="2">
        <v>181800</v>
      </c>
      <c r="G453" s="2" t="s">
        <v>706</v>
      </c>
      <c r="H453" s="2" t="s">
        <v>707</v>
      </c>
      <c r="I453" s="5" t="s">
        <v>702</v>
      </c>
      <c r="J453" s="2" t="str">
        <f>VLOOKUP(M453,[1]Directorate!$A:$B,2,FALSE)</f>
        <v>IT AVA Non - SLA</v>
      </c>
      <c r="K453" s="6">
        <f>ROUND(195,2)</f>
        <v>195</v>
      </c>
      <c r="L453" s="2">
        <v>400110</v>
      </c>
      <c r="M453" s="2">
        <v>13001</v>
      </c>
    </row>
    <row r="454" spans="1:13" ht="15.75" x14ac:dyDescent="0.25">
      <c r="A454" s="2" t="s">
        <v>483</v>
      </c>
      <c r="B454" s="2" t="s">
        <v>630</v>
      </c>
      <c r="C454" s="2">
        <v>3</v>
      </c>
      <c r="D454" s="2">
        <v>35</v>
      </c>
      <c r="E454" s="2" t="s">
        <v>22</v>
      </c>
      <c r="F454" s="2">
        <v>181800</v>
      </c>
      <c r="G454" s="2" t="s">
        <v>706</v>
      </c>
      <c r="H454" s="2" t="s">
        <v>707</v>
      </c>
      <c r="I454" s="5" t="s">
        <v>702</v>
      </c>
      <c r="J454" s="2" t="str">
        <f>VLOOKUP(M454,[1]Directorate!$A:$B,2,FALSE)</f>
        <v>IT AVA Non - SLA</v>
      </c>
      <c r="K454" s="6">
        <f>ROUND(380,2)</f>
        <v>380</v>
      </c>
      <c r="L454" s="2">
        <v>400110</v>
      </c>
      <c r="M454" s="2">
        <v>13001</v>
      </c>
    </row>
    <row r="455" spans="1:13" ht="15.75" x14ac:dyDescent="0.25">
      <c r="A455" s="2" t="s">
        <v>483</v>
      </c>
      <c r="B455" s="2" t="s">
        <v>630</v>
      </c>
      <c r="C455" s="2">
        <v>4</v>
      </c>
      <c r="D455" s="2">
        <v>35</v>
      </c>
      <c r="E455" s="2" t="s">
        <v>22</v>
      </c>
      <c r="F455" s="2">
        <v>181800</v>
      </c>
      <c r="G455" s="2" t="s">
        <v>706</v>
      </c>
      <c r="H455" s="2" t="s">
        <v>707</v>
      </c>
      <c r="I455" s="5" t="s">
        <v>702</v>
      </c>
      <c r="J455" s="2" t="str">
        <f>VLOOKUP(M455,[1]Directorate!$A:$B,2,FALSE)</f>
        <v>IT AVA Non - SLA</v>
      </c>
      <c r="K455" s="6">
        <f>ROUND(6900,2)</f>
        <v>6900</v>
      </c>
      <c r="L455" s="2">
        <v>400110</v>
      </c>
      <c r="M455" s="2">
        <v>13001</v>
      </c>
    </row>
    <row r="456" spans="1:13" ht="15.75" x14ac:dyDescent="0.25">
      <c r="A456" s="2" t="s">
        <v>483</v>
      </c>
      <c r="B456" s="2" t="s">
        <v>630</v>
      </c>
      <c r="C456" s="2">
        <v>5</v>
      </c>
      <c r="D456" s="2">
        <v>35</v>
      </c>
      <c r="E456" s="2" t="s">
        <v>22</v>
      </c>
      <c r="F456" s="2">
        <v>181800</v>
      </c>
      <c r="G456" s="2" t="s">
        <v>706</v>
      </c>
      <c r="H456" s="2" t="s">
        <v>707</v>
      </c>
      <c r="I456" s="5" t="s">
        <v>702</v>
      </c>
      <c r="J456" s="2" t="str">
        <f>VLOOKUP(M456,[1]Directorate!$A:$B,2,FALSE)</f>
        <v>IT AVA Non - SLA</v>
      </c>
      <c r="K456" s="6">
        <f>ROUND(2293.65,2)</f>
        <v>2293.65</v>
      </c>
      <c r="L456" s="2">
        <v>400110</v>
      </c>
      <c r="M456" s="2">
        <v>13001</v>
      </c>
    </row>
    <row r="457" spans="1:13" ht="15.75" x14ac:dyDescent="0.25">
      <c r="A457" s="2" t="s">
        <v>551</v>
      </c>
      <c r="B457" s="2" t="s">
        <v>637</v>
      </c>
      <c r="C457" s="2">
        <v>1</v>
      </c>
      <c r="D457" s="2">
        <v>16092</v>
      </c>
      <c r="E457" s="2" t="s">
        <v>125</v>
      </c>
      <c r="F457" s="2">
        <v>391114</v>
      </c>
      <c r="G457" s="2" t="s">
        <v>733</v>
      </c>
      <c r="H457" s="2" t="s">
        <v>734</v>
      </c>
      <c r="I457" s="7" t="s">
        <v>702</v>
      </c>
      <c r="J457" s="2" t="e">
        <f>VLOOKUP(M457,[1]Directorate!$A:$B,2,FALSE)</f>
        <v>#N/A</v>
      </c>
      <c r="K457" s="6">
        <f>ROUND(6500,2)</f>
        <v>6500</v>
      </c>
      <c r="L457" s="2">
        <v>200316</v>
      </c>
      <c r="M457" s="2" t="s">
        <v>200</v>
      </c>
    </row>
    <row r="458" spans="1:13" ht="15.75" x14ac:dyDescent="0.25">
      <c r="A458" s="2" t="s">
        <v>551</v>
      </c>
      <c r="B458" s="2" t="s">
        <v>638</v>
      </c>
      <c r="C458" s="2">
        <v>1</v>
      </c>
      <c r="D458" s="2">
        <v>16092</v>
      </c>
      <c r="E458" s="2" t="s">
        <v>125</v>
      </c>
      <c r="F458" s="2">
        <v>390000</v>
      </c>
      <c r="G458" s="2" t="s">
        <v>703</v>
      </c>
      <c r="H458" s="2" t="s">
        <v>726</v>
      </c>
      <c r="I458" s="7" t="s">
        <v>702</v>
      </c>
      <c r="J458" s="2" t="e">
        <f>VLOOKUP(M458,[1]Directorate!$A:$B,2,FALSE)</f>
        <v>#N/A</v>
      </c>
      <c r="K458" s="6">
        <f>ROUND(8500,2)</f>
        <v>8500</v>
      </c>
      <c r="L458" s="2">
        <v>200311</v>
      </c>
      <c r="M458" s="2" t="s">
        <v>200</v>
      </c>
    </row>
    <row r="459" spans="1:13" ht="15.75" x14ac:dyDescent="0.25">
      <c r="A459" s="2" t="s">
        <v>551</v>
      </c>
      <c r="B459" s="2" t="s">
        <v>639</v>
      </c>
      <c r="C459" s="2">
        <v>1</v>
      </c>
      <c r="D459" s="2">
        <v>16092</v>
      </c>
      <c r="E459" s="2" t="s">
        <v>125</v>
      </c>
      <c r="F459" s="2">
        <v>390000</v>
      </c>
      <c r="G459" s="2" t="s">
        <v>703</v>
      </c>
      <c r="H459" s="2" t="s">
        <v>726</v>
      </c>
      <c r="I459" s="7" t="s">
        <v>702</v>
      </c>
      <c r="J459" s="2" t="e">
        <f>VLOOKUP(M459,[1]Directorate!$A:$B,2,FALSE)</f>
        <v>#N/A</v>
      </c>
      <c r="K459" s="6">
        <f>ROUND(8500,2)</f>
        <v>8500</v>
      </c>
      <c r="L459" s="2">
        <v>200311</v>
      </c>
      <c r="M459" s="2" t="s">
        <v>200</v>
      </c>
    </row>
    <row r="460" spans="1:13" ht="15.75" x14ac:dyDescent="0.25">
      <c r="A460" s="2" t="s">
        <v>480</v>
      </c>
      <c r="B460" s="2" t="s">
        <v>586</v>
      </c>
      <c r="C460" s="2">
        <v>1</v>
      </c>
      <c r="D460" s="2">
        <v>16408</v>
      </c>
      <c r="E460" s="2" t="s">
        <v>587</v>
      </c>
      <c r="F460" s="2">
        <v>150000</v>
      </c>
      <c r="G460" s="2" t="s">
        <v>716</v>
      </c>
      <c r="H460" s="2" t="s">
        <v>717</v>
      </c>
      <c r="I460" s="5" t="s">
        <v>705</v>
      </c>
      <c r="J460" s="2" t="str">
        <f>VLOOKUP(M460,[1]Directorate!$A:$B,2,FALSE)</f>
        <v>Adults Management</v>
      </c>
      <c r="K460" s="6">
        <f>ROUND(11900,2)</f>
        <v>11900</v>
      </c>
      <c r="L460" s="2">
        <v>401020</v>
      </c>
      <c r="M460" s="2">
        <v>11873</v>
      </c>
    </row>
    <row r="461" spans="1:13" ht="15.75" x14ac:dyDescent="0.25">
      <c r="A461" s="2" t="s">
        <v>480</v>
      </c>
      <c r="B461" s="2" t="s">
        <v>641</v>
      </c>
      <c r="C461" s="2">
        <v>1</v>
      </c>
      <c r="D461" s="2">
        <v>4272</v>
      </c>
      <c r="E461" s="2" t="s">
        <v>56</v>
      </c>
      <c r="F461" s="2">
        <v>280000</v>
      </c>
      <c r="G461" s="2" t="s">
        <v>729</v>
      </c>
      <c r="H461" s="2" t="s">
        <v>730</v>
      </c>
      <c r="I461" s="5" t="s">
        <v>714</v>
      </c>
      <c r="J461" s="2" t="str">
        <f>VLOOKUP(M461,[1]Directorate!$A:$B,2,FALSE)</f>
        <v>Property Client Acct</v>
      </c>
      <c r="K461" s="6">
        <f>ROUND(19963,2)</f>
        <v>19963</v>
      </c>
      <c r="L461" s="2">
        <v>401016</v>
      </c>
      <c r="M461" s="2">
        <v>11137</v>
      </c>
    </row>
    <row r="462" spans="1:13" ht="15.75" x14ac:dyDescent="0.25">
      <c r="A462" s="2" t="s">
        <v>536</v>
      </c>
      <c r="B462" s="2" t="s">
        <v>643</v>
      </c>
      <c r="C462" s="2">
        <v>1</v>
      </c>
      <c r="D462" s="2">
        <v>1339</v>
      </c>
      <c r="E462" s="2" t="s">
        <v>158</v>
      </c>
      <c r="F462" s="2">
        <v>310000</v>
      </c>
      <c r="G462" s="2" t="s">
        <v>745</v>
      </c>
      <c r="H462" s="2" t="s">
        <v>746</v>
      </c>
      <c r="I462" s="5" t="s">
        <v>705</v>
      </c>
      <c r="J462" s="2" t="str">
        <f>VLOOKUP(M462,[1]Directorate!$A:$B,2,FALSE)</f>
        <v>SEN Specific support</v>
      </c>
      <c r="K462" s="6">
        <f>ROUND(22492,2)</f>
        <v>22492</v>
      </c>
      <c r="L462" s="2">
        <v>500402</v>
      </c>
      <c r="M462" s="2">
        <v>10300</v>
      </c>
    </row>
    <row r="463" spans="1:13" ht="15.75" x14ac:dyDescent="0.25">
      <c r="A463" s="2" t="s">
        <v>536</v>
      </c>
      <c r="B463" s="2" t="s">
        <v>646</v>
      </c>
      <c r="C463" s="2">
        <v>1</v>
      </c>
      <c r="D463" s="2">
        <v>4369</v>
      </c>
      <c r="E463" s="2" t="s">
        <v>521</v>
      </c>
      <c r="F463" s="2">
        <v>310000</v>
      </c>
      <c r="G463" s="2" t="s">
        <v>745</v>
      </c>
      <c r="H463" s="2" t="s">
        <v>746</v>
      </c>
      <c r="I463" s="5" t="s">
        <v>705</v>
      </c>
      <c r="J463" s="2" t="str">
        <f>VLOOKUP(M463,[1]Directorate!$A:$B,2,FALSE)</f>
        <v>FDAC - Family D&amp;A Ct</v>
      </c>
      <c r="K463" s="6">
        <f>ROUND(31028,2)</f>
        <v>31028</v>
      </c>
      <c r="L463" s="2">
        <v>500402</v>
      </c>
      <c r="M463" s="2">
        <v>13058</v>
      </c>
    </row>
    <row r="464" spans="1:13" ht="15.75" x14ac:dyDescent="0.25">
      <c r="A464" s="2" t="s">
        <v>536</v>
      </c>
      <c r="B464" s="2" t="s">
        <v>647</v>
      </c>
      <c r="C464" s="2">
        <v>1</v>
      </c>
      <c r="D464" s="2">
        <v>11009</v>
      </c>
      <c r="E464" s="2" t="s">
        <v>625</v>
      </c>
      <c r="F464" s="2">
        <v>261500</v>
      </c>
      <c r="G464" s="2" t="s">
        <v>718</v>
      </c>
      <c r="H464" s="2" t="s">
        <v>715</v>
      </c>
      <c r="I464" s="5" t="s">
        <v>705</v>
      </c>
      <c r="J464" s="2" t="str">
        <f>VLOOKUP(M464,[1]Directorate!$A:$B,2,FALSE)</f>
        <v>SEN Specific support</v>
      </c>
      <c r="K464" s="6">
        <f>ROUND(16050,2)</f>
        <v>16050</v>
      </c>
      <c r="L464" s="2">
        <v>401024</v>
      </c>
      <c r="M464" s="2">
        <v>10300</v>
      </c>
    </row>
    <row r="465" spans="1:13" ht="15.75" x14ac:dyDescent="0.25">
      <c r="A465" s="2" t="s">
        <v>536</v>
      </c>
      <c r="B465" s="2" t="s">
        <v>648</v>
      </c>
      <c r="C465" s="2">
        <v>1</v>
      </c>
      <c r="D465" s="2">
        <v>15012</v>
      </c>
      <c r="E465" s="2" t="s">
        <v>165</v>
      </c>
      <c r="F465" s="2">
        <v>202000</v>
      </c>
      <c r="G465" s="2" t="s">
        <v>731</v>
      </c>
      <c r="H465" s="2" t="s">
        <v>732</v>
      </c>
      <c r="I465" s="5" t="s">
        <v>705</v>
      </c>
      <c r="J465" s="2" t="str">
        <f>VLOOKUP(M465,[1]Directorate!$A:$B,2,FALSE)</f>
        <v>Highfields PRU</v>
      </c>
      <c r="K465" s="6">
        <f>ROUND(6020,2)</f>
        <v>6020</v>
      </c>
      <c r="L465" s="2">
        <v>200703</v>
      </c>
      <c r="M465" s="2">
        <v>10329</v>
      </c>
    </row>
    <row r="466" spans="1:13" ht="15.75" x14ac:dyDescent="0.25">
      <c r="A466" s="2" t="s">
        <v>536</v>
      </c>
      <c r="B466" s="2" t="s">
        <v>649</v>
      </c>
      <c r="C466" s="2">
        <v>1</v>
      </c>
      <c r="D466" s="2">
        <v>3529</v>
      </c>
      <c r="E466" s="2" t="s">
        <v>20</v>
      </c>
      <c r="F466" s="2">
        <v>290000</v>
      </c>
      <c r="G466" s="2" t="s">
        <v>752</v>
      </c>
      <c r="H466" s="2" t="s">
        <v>753</v>
      </c>
      <c r="I466" s="5" t="s">
        <v>714</v>
      </c>
      <c r="J466" s="2" t="str">
        <f>VLOOKUP(M466,[1]Directorate!$A:$B,2,FALSE)</f>
        <v>Borough Festive Ligh</v>
      </c>
      <c r="K466" s="6">
        <f>ROUND(79245.27,2)</f>
        <v>79245.27</v>
      </c>
      <c r="L466" s="2">
        <v>401801</v>
      </c>
      <c r="M466" s="2">
        <v>12654</v>
      </c>
    </row>
    <row r="467" spans="1:13" ht="15.75" x14ac:dyDescent="0.25">
      <c r="A467" s="2" t="s">
        <v>536</v>
      </c>
      <c r="B467" s="2" t="s">
        <v>651</v>
      </c>
      <c r="C467" s="2">
        <v>1</v>
      </c>
      <c r="D467" s="2">
        <v>16423</v>
      </c>
      <c r="E467" s="2" t="s">
        <v>652</v>
      </c>
      <c r="F467" s="2">
        <v>390000</v>
      </c>
      <c r="G467" s="2" t="s">
        <v>703</v>
      </c>
      <c r="H467" s="2" t="s">
        <v>726</v>
      </c>
      <c r="I467" s="7" t="s">
        <v>702</v>
      </c>
      <c r="J467" s="2" t="e">
        <f>VLOOKUP(M467,[1]Directorate!$A:$B,2,FALSE)</f>
        <v>#N/A</v>
      </c>
      <c r="K467" s="6">
        <f>ROUND(244139.7,2)</f>
        <v>244139.7</v>
      </c>
      <c r="L467" s="2">
        <v>200311</v>
      </c>
      <c r="M467" s="2" t="s">
        <v>309</v>
      </c>
    </row>
    <row r="468" spans="1:13" ht="15.75" x14ac:dyDescent="0.25">
      <c r="A468" s="2" t="s">
        <v>536</v>
      </c>
      <c r="B468" s="2" t="s">
        <v>653</v>
      </c>
      <c r="C468" s="2">
        <v>1</v>
      </c>
      <c r="D468" s="2">
        <v>7025</v>
      </c>
      <c r="E468" s="2" t="s">
        <v>221</v>
      </c>
      <c r="F468" s="2">
        <v>150000</v>
      </c>
      <c r="G468" s="2" t="s">
        <v>716</v>
      </c>
      <c r="H468" s="2" t="s">
        <v>717</v>
      </c>
      <c r="I468" s="5" t="s">
        <v>714</v>
      </c>
      <c r="J468" s="2" t="str">
        <f>VLOOKUP(M468,[1]Directorate!$A:$B,2,FALSE)</f>
        <v>Property Client Acct</v>
      </c>
      <c r="K468" s="6">
        <f>ROUND(2990.25,2)</f>
        <v>2990.25</v>
      </c>
      <c r="L468" s="2">
        <v>401020</v>
      </c>
      <c r="M468" s="2">
        <v>11137</v>
      </c>
    </row>
    <row r="469" spans="1:13" ht="15.75" x14ac:dyDescent="0.25">
      <c r="A469" s="2" t="s">
        <v>536</v>
      </c>
      <c r="B469" s="2" t="s">
        <v>654</v>
      </c>
      <c r="C469" s="2">
        <v>1</v>
      </c>
      <c r="D469" s="2">
        <v>9232</v>
      </c>
      <c r="E469" s="2" t="s">
        <v>84</v>
      </c>
      <c r="F469" s="2">
        <v>150000</v>
      </c>
      <c r="G469" s="2" t="s">
        <v>716</v>
      </c>
      <c r="H469" s="2" t="s">
        <v>717</v>
      </c>
      <c r="I469" s="5" t="s">
        <v>705</v>
      </c>
      <c r="J469" s="2" t="str">
        <f>VLOOKUP(M469,[1]Directorate!$A:$B,2,FALSE)</f>
        <v>SEN Incl - Psycholog</v>
      </c>
      <c r="K469" s="6">
        <f>ROUND(1375,2)</f>
        <v>1375</v>
      </c>
      <c r="L469" s="2">
        <v>401007</v>
      </c>
      <c r="M469" s="2">
        <v>10751</v>
      </c>
    </row>
    <row r="470" spans="1:13" ht="15.75" x14ac:dyDescent="0.25">
      <c r="A470" s="2" t="s">
        <v>536</v>
      </c>
      <c r="B470" s="2" t="s">
        <v>655</v>
      </c>
      <c r="C470" s="2">
        <v>1</v>
      </c>
      <c r="D470" s="2">
        <v>13601</v>
      </c>
      <c r="E470" s="2" t="s">
        <v>656</v>
      </c>
      <c r="F470" s="2">
        <v>150000</v>
      </c>
      <c r="G470" s="2" t="s">
        <v>716</v>
      </c>
      <c r="H470" s="2" t="s">
        <v>717</v>
      </c>
      <c r="I470" s="5" t="s">
        <v>714</v>
      </c>
      <c r="J470" s="2" t="str">
        <f>VLOOKUP(M470,[1]Directorate!$A:$B,2,FALSE)</f>
        <v>Planning</v>
      </c>
      <c r="K470" s="6">
        <f>ROUND(9500,2)</f>
        <v>9500</v>
      </c>
      <c r="L470" s="2">
        <v>401007</v>
      </c>
      <c r="M470" s="2">
        <v>12150</v>
      </c>
    </row>
    <row r="471" spans="1:13" ht="15.75" x14ac:dyDescent="0.25">
      <c r="A471" s="2" t="s">
        <v>536</v>
      </c>
      <c r="B471" s="2" t="s">
        <v>657</v>
      </c>
      <c r="C471" s="2">
        <v>1</v>
      </c>
      <c r="D471" s="2">
        <v>16376</v>
      </c>
      <c r="E471" s="2" t="s">
        <v>439</v>
      </c>
      <c r="F471" s="2">
        <v>320000</v>
      </c>
      <c r="G471" s="2" t="s">
        <v>741</v>
      </c>
      <c r="H471" s="2" t="s">
        <v>761</v>
      </c>
      <c r="I471" s="5" t="s">
        <v>705</v>
      </c>
      <c r="J471" s="2" t="str">
        <f>VLOOKUP(M471,[1]Directorate!$A:$B,2,FALSE)</f>
        <v>W&amp;B Client spend</v>
      </c>
      <c r="K471" s="6">
        <f>ROUND(5000,2)</f>
        <v>5000</v>
      </c>
      <c r="L471" s="2">
        <v>530356</v>
      </c>
      <c r="M471" s="2">
        <v>13141</v>
      </c>
    </row>
    <row r="472" spans="1:13" ht="15.75" x14ac:dyDescent="0.25">
      <c r="A472" s="2" t="s">
        <v>536</v>
      </c>
      <c r="B472" s="2" t="s">
        <v>653</v>
      </c>
      <c r="C472" s="2">
        <v>2</v>
      </c>
      <c r="D472" s="2">
        <v>7025</v>
      </c>
      <c r="E472" s="2" t="s">
        <v>221</v>
      </c>
      <c r="F472" s="2">
        <v>150000</v>
      </c>
      <c r="G472" s="2" t="s">
        <v>716</v>
      </c>
      <c r="H472" s="2" t="s">
        <v>717</v>
      </c>
      <c r="I472" s="5" t="s">
        <v>714</v>
      </c>
      <c r="J472" s="2" t="str">
        <f>VLOOKUP(M472,[1]Directorate!$A:$B,2,FALSE)</f>
        <v>Property Client Acct</v>
      </c>
      <c r="K472" s="6">
        <f>ROUND(2613.87,2)</f>
        <v>2613.87</v>
      </c>
      <c r="L472" s="2">
        <v>401020</v>
      </c>
      <c r="M472" s="2">
        <v>11137</v>
      </c>
    </row>
    <row r="473" spans="1:13" ht="15.75" x14ac:dyDescent="0.25">
      <c r="A473" s="2" t="s">
        <v>536</v>
      </c>
      <c r="B473" s="2" t="s">
        <v>654</v>
      </c>
      <c r="C473" s="2">
        <v>2</v>
      </c>
      <c r="D473" s="2">
        <v>9232</v>
      </c>
      <c r="E473" s="2" t="s">
        <v>84</v>
      </c>
      <c r="F473" s="2">
        <v>150000</v>
      </c>
      <c r="G473" s="2" t="s">
        <v>716</v>
      </c>
      <c r="H473" s="2" t="s">
        <v>717</v>
      </c>
      <c r="I473" s="5" t="s">
        <v>705</v>
      </c>
      <c r="J473" s="2" t="str">
        <f>VLOOKUP(M473,[1]Directorate!$A:$B,2,FALSE)</f>
        <v>SEN Incl - Psycholog</v>
      </c>
      <c r="K473" s="6">
        <f>ROUND(1375,2)</f>
        <v>1375</v>
      </c>
      <c r="L473" s="2">
        <v>401007</v>
      </c>
      <c r="M473" s="2">
        <v>10751</v>
      </c>
    </row>
    <row r="474" spans="1:13" ht="15.75" x14ac:dyDescent="0.25">
      <c r="A474" s="2" t="s">
        <v>536</v>
      </c>
      <c r="B474" s="2" t="s">
        <v>654</v>
      </c>
      <c r="C474" s="2">
        <v>3</v>
      </c>
      <c r="D474" s="2">
        <v>9232</v>
      </c>
      <c r="E474" s="2" t="s">
        <v>84</v>
      </c>
      <c r="F474" s="2">
        <v>150000</v>
      </c>
      <c r="G474" s="2" t="s">
        <v>716</v>
      </c>
      <c r="H474" s="2" t="s">
        <v>717</v>
      </c>
      <c r="I474" s="5" t="s">
        <v>705</v>
      </c>
      <c r="J474" s="2" t="str">
        <f>VLOOKUP(M474,[1]Directorate!$A:$B,2,FALSE)</f>
        <v>SEN Incl - Psycholog</v>
      </c>
      <c r="K474" s="6">
        <f>ROUND(1375,2)</f>
        <v>1375</v>
      </c>
      <c r="L474" s="2">
        <v>401007</v>
      </c>
      <c r="M474" s="2">
        <v>10751</v>
      </c>
    </row>
    <row r="475" spans="1:13" ht="15.75" x14ac:dyDescent="0.25">
      <c r="A475" s="2" t="s">
        <v>536</v>
      </c>
      <c r="B475" s="2" t="s">
        <v>654</v>
      </c>
      <c r="C475" s="2">
        <v>4</v>
      </c>
      <c r="D475" s="2">
        <v>9232</v>
      </c>
      <c r="E475" s="2" t="s">
        <v>84</v>
      </c>
      <c r="F475" s="2">
        <v>150000</v>
      </c>
      <c r="G475" s="2" t="s">
        <v>716</v>
      </c>
      <c r="H475" s="2" t="s">
        <v>717</v>
      </c>
      <c r="I475" s="5" t="s">
        <v>705</v>
      </c>
      <c r="J475" s="2" t="str">
        <f>VLOOKUP(M475,[1]Directorate!$A:$B,2,FALSE)</f>
        <v>SEN Incl - Psycholog</v>
      </c>
      <c r="K475" s="6">
        <f>ROUND(1375,2)</f>
        <v>1375</v>
      </c>
      <c r="L475" s="2">
        <v>401007</v>
      </c>
      <c r="M475" s="2">
        <v>10751</v>
      </c>
    </row>
    <row r="476" spans="1:13" ht="15.75" x14ac:dyDescent="0.25">
      <c r="A476" s="2" t="s">
        <v>609</v>
      </c>
      <c r="B476" s="2" t="s">
        <v>608</v>
      </c>
      <c r="C476" s="2">
        <v>1</v>
      </c>
      <c r="D476" s="2">
        <v>2628</v>
      </c>
      <c r="E476" s="2" t="s">
        <v>485</v>
      </c>
      <c r="F476" s="2">
        <v>200000</v>
      </c>
      <c r="G476" s="2" t="s">
        <v>740</v>
      </c>
      <c r="H476" s="2" t="s">
        <v>715</v>
      </c>
      <c r="I476" s="5" t="s">
        <v>702</v>
      </c>
      <c r="J476" s="2" t="str">
        <f>VLOOKUP(M476,[1]Directorate!$A:$B,2,FALSE)</f>
        <v>Chief Execs Office</v>
      </c>
      <c r="K476" s="6">
        <f>ROUND(24237.37,2)</f>
        <v>24237.37</v>
      </c>
      <c r="L476" s="2">
        <v>402401</v>
      </c>
      <c r="M476" s="2">
        <v>11112</v>
      </c>
    </row>
    <row r="477" spans="1:13" ht="15.75" x14ac:dyDescent="0.25">
      <c r="A477" s="2" t="s">
        <v>609</v>
      </c>
      <c r="B477" s="2" t="s">
        <v>610</v>
      </c>
      <c r="C477" s="2">
        <v>1</v>
      </c>
      <c r="D477" s="2">
        <v>15162</v>
      </c>
      <c r="E477" s="2" t="s">
        <v>611</v>
      </c>
      <c r="F477" s="2">
        <v>390000</v>
      </c>
      <c r="G477" s="2" t="s">
        <v>713</v>
      </c>
      <c r="H477" s="2" t="s">
        <v>713</v>
      </c>
      <c r="I477" s="7" t="s">
        <v>714</v>
      </c>
      <c r="J477" s="2" t="e">
        <f>VLOOKUP(M477,[1]Directorate!$A:$B,2,FALSE)</f>
        <v>#N/A</v>
      </c>
      <c r="K477" s="6">
        <f>ROUND(10000,2)</f>
        <v>10000</v>
      </c>
      <c r="L477" s="2">
        <v>401600</v>
      </c>
      <c r="M477" s="2" t="s">
        <v>612</v>
      </c>
    </row>
    <row r="478" spans="1:13" ht="15.75" x14ac:dyDescent="0.25">
      <c r="A478" s="2" t="s">
        <v>609</v>
      </c>
      <c r="B478" s="2" t="s">
        <v>640</v>
      </c>
      <c r="C478" s="2">
        <v>1</v>
      </c>
      <c r="D478" s="2">
        <v>35</v>
      </c>
      <c r="E478" s="2" t="s">
        <v>22</v>
      </c>
      <c r="F478" s="2">
        <v>270000</v>
      </c>
      <c r="G478" s="2" t="s">
        <v>724</v>
      </c>
      <c r="H478" s="2" t="s">
        <v>725</v>
      </c>
      <c r="I478" s="5" t="s">
        <v>702</v>
      </c>
      <c r="J478" s="2" t="str">
        <f>VLOOKUP(M478,[1]Directorate!$A:$B,2,FALSE)</f>
        <v>IT Infrastructure</v>
      </c>
      <c r="K478" s="6">
        <f>ROUND(1498.5,2)</f>
        <v>1498.5</v>
      </c>
      <c r="L478" s="2">
        <v>402001</v>
      </c>
      <c r="M478" s="2">
        <v>11324</v>
      </c>
    </row>
    <row r="479" spans="1:13" ht="15.75" x14ac:dyDescent="0.25">
      <c r="A479" s="2" t="s">
        <v>609</v>
      </c>
      <c r="B479" s="2" t="s">
        <v>640</v>
      </c>
      <c r="C479" s="2">
        <v>2</v>
      </c>
      <c r="D479" s="2">
        <v>35</v>
      </c>
      <c r="E479" s="2" t="s">
        <v>22</v>
      </c>
      <c r="F479" s="2">
        <v>270000</v>
      </c>
      <c r="G479" s="2" t="s">
        <v>724</v>
      </c>
      <c r="H479" s="2" t="s">
        <v>725</v>
      </c>
      <c r="I479" s="5" t="s">
        <v>702</v>
      </c>
      <c r="J479" s="2" t="str">
        <f>VLOOKUP(M479,[1]Directorate!$A:$B,2,FALSE)</f>
        <v>IT Infrastructure</v>
      </c>
      <c r="K479" s="6">
        <f>ROUND(1245,2)</f>
        <v>1245</v>
      </c>
      <c r="L479" s="2">
        <v>402001</v>
      </c>
      <c r="M479" s="2">
        <v>11324</v>
      </c>
    </row>
    <row r="480" spans="1:13" ht="15.75" x14ac:dyDescent="0.25">
      <c r="A480" s="2" t="s">
        <v>609</v>
      </c>
      <c r="B480" s="2" t="s">
        <v>640</v>
      </c>
      <c r="C480" s="2">
        <v>3</v>
      </c>
      <c r="D480" s="2">
        <v>35</v>
      </c>
      <c r="E480" s="2" t="s">
        <v>22</v>
      </c>
      <c r="F480" s="2">
        <v>270000</v>
      </c>
      <c r="G480" s="2" t="s">
        <v>724</v>
      </c>
      <c r="H480" s="2" t="s">
        <v>725</v>
      </c>
      <c r="I480" s="5" t="s">
        <v>702</v>
      </c>
      <c r="J480" s="2" t="str">
        <f>VLOOKUP(M480,[1]Directorate!$A:$B,2,FALSE)</f>
        <v>IT Infrastructure</v>
      </c>
      <c r="K480" s="6">
        <f>ROUND(120,2)</f>
        <v>120</v>
      </c>
      <c r="L480" s="2">
        <v>402001</v>
      </c>
      <c r="M480" s="2">
        <v>11324</v>
      </c>
    </row>
    <row r="481" spans="1:13" ht="15.75" x14ac:dyDescent="0.25">
      <c r="A481" s="2" t="s">
        <v>609</v>
      </c>
      <c r="B481" s="2" t="s">
        <v>640</v>
      </c>
      <c r="C481" s="2">
        <v>4</v>
      </c>
      <c r="D481" s="2">
        <v>35</v>
      </c>
      <c r="E481" s="2" t="s">
        <v>22</v>
      </c>
      <c r="F481" s="2">
        <v>270000</v>
      </c>
      <c r="G481" s="2" t="s">
        <v>724</v>
      </c>
      <c r="H481" s="2" t="s">
        <v>725</v>
      </c>
      <c r="I481" s="5" t="s">
        <v>702</v>
      </c>
      <c r="J481" s="2" t="str">
        <f>VLOOKUP(M481,[1]Directorate!$A:$B,2,FALSE)</f>
        <v>IT Infrastructure</v>
      </c>
      <c r="K481" s="6">
        <f>ROUND(419.7,2)</f>
        <v>419.7</v>
      </c>
      <c r="L481" s="2">
        <v>402001</v>
      </c>
      <c r="M481" s="2">
        <v>11324</v>
      </c>
    </row>
    <row r="482" spans="1:13" ht="15.75" x14ac:dyDescent="0.25">
      <c r="A482" s="2" t="s">
        <v>609</v>
      </c>
      <c r="B482" s="2" t="s">
        <v>640</v>
      </c>
      <c r="C482" s="2">
        <v>5</v>
      </c>
      <c r="D482" s="2">
        <v>35</v>
      </c>
      <c r="E482" s="2" t="s">
        <v>22</v>
      </c>
      <c r="F482" s="2">
        <v>270000</v>
      </c>
      <c r="G482" s="2" t="s">
        <v>724</v>
      </c>
      <c r="H482" s="2" t="s">
        <v>725</v>
      </c>
      <c r="I482" s="5" t="s">
        <v>702</v>
      </c>
      <c r="J482" s="2" t="str">
        <f>VLOOKUP(M482,[1]Directorate!$A:$B,2,FALSE)</f>
        <v>IT Infrastructure</v>
      </c>
      <c r="K482" s="6">
        <f>ROUND(19350,2)</f>
        <v>19350</v>
      </c>
      <c r="L482" s="2">
        <v>402001</v>
      </c>
      <c r="M482" s="2">
        <v>11324</v>
      </c>
    </row>
    <row r="483" spans="1:13" ht="15.75" x14ac:dyDescent="0.25">
      <c r="A483" s="2" t="s">
        <v>621</v>
      </c>
      <c r="B483" s="2" t="s">
        <v>620</v>
      </c>
      <c r="C483" s="2">
        <v>1</v>
      </c>
      <c r="D483" s="2">
        <v>11308</v>
      </c>
      <c r="E483" s="2" t="s">
        <v>113</v>
      </c>
      <c r="F483" s="2">
        <v>999999</v>
      </c>
      <c r="G483" s="2" t="s">
        <v>715</v>
      </c>
      <c r="H483" s="2" t="s">
        <v>715</v>
      </c>
      <c r="I483" s="5" t="s">
        <v>705</v>
      </c>
      <c r="J483" s="2" t="str">
        <f>VLOOKUP(M483,[1]Directorate!$A:$B,2,FALSE)</f>
        <v>RAA - ASF Grant</v>
      </c>
      <c r="K483" s="6">
        <f>ROUND(5000,2)</f>
        <v>5000</v>
      </c>
      <c r="L483" s="2">
        <v>401035</v>
      </c>
      <c r="M483" s="2">
        <v>12968</v>
      </c>
    </row>
    <row r="484" spans="1:13" ht="15.75" x14ac:dyDescent="0.25">
      <c r="A484" s="2" t="s">
        <v>621</v>
      </c>
      <c r="B484" s="2" t="s">
        <v>642</v>
      </c>
      <c r="C484" s="2">
        <v>1</v>
      </c>
      <c r="D484" s="2">
        <v>7656</v>
      </c>
      <c r="E484" s="2" t="s">
        <v>573</v>
      </c>
      <c r="F484" s="2">
        <v>270000</v>
      </c>
      <c r="G484" s="2" t="s">
        <v>724</v>
      </c>
      <c r="H484" s="2" t="s">
        <v>725</v>
      </c>
      <c r="I484" s="5" t="s">
        <v>714</v>
      </c>
      <c r="J484" s="2" t="str">
        <f>VLOOKUP(M484,[1]Directorate!$A:$B,2,FALSE)</f>
        <v>Property Client Acct</v>
      </c>
      <c r="K484" s="6">
        <f>ROUND(5345,2)</f>
        <v>5345</v>
      </c>
      <c r="L484" s="2">
        <v>402001</v>
      </c>
      <c r="M484" s="2">
        <v>12328</v>
      </c>
    </row>
    <row r="485" spans="1:13" ht="15.75" x14ac:dyDescent="0.25">
      <c r="A485" s="2" t="s">
        <v>621</v>
      </c>
      <c r="B485" s="2" t="s">
        <v>659</v>
      </c>
      <c r="C485" s="2">
        <v>1</v>
      </c>
      <c r="D485" s="2">
        <v>9011</v>
      </c>
      <c r="E485" s="2" t="s">
        <v>660</v>
      </c>
      <c r="F485" s="2">
        <v>190000</v>
      </c>
      <c r="G485" s="2" t="s">
        <v>747</v>
      </c>
      <c r="H485" s="2" t="s">
        <v>710</v>
      </c>
      <c r="I485" s="5" t="s">
        <v>702</v>
      </c>
      <c r="J485" s="2" t="str">
        <f>VLOOKUP(M485,[1]Directorate!$A:$B,2,FALSE)</f>
        <v>U-Coroners Ct-Genera</v>
      </c>
      <c r="K485" s="6">
        <f>ROUND(1295,2)</f>
        <v>1295</v>
      </c>
      <c r="L485" s="2">
        <v>400712</v>
      </c>
      <c r="M485" s="2">
        <v>10965</v>
      </c>
    </row>
    <row r="486" spans="1:13" ht="15.75" x14ac:dyDescent="0.25">
      <c r="A486" s="2" t="s">
        <v>621</v>
      </c>
      <c r="B486" s="2" t="s">
        <v>661</v>
      </c>
      <c r="C486" s="2">
        <v>1</v>
      </c>
      <c r="D486" s="2">
        <v>3290</v>
      </c>
      <c r="E486" s="2" t="s">
        <v>49</v>
      </c>
      <c r="F486" s="2">
        <v>300000</v>
      </c>
      <c r="G486" s="2" t="s">
        <v>709</v>
      </c>
      <c r="H486" s="2" t="s">
        <v>710</v>
      </c>
      <c r="I486" s="5" t="s">
        <v>702</v>
      </c>
      <c r="J486" s="2" t="str">
        <f>VLOOKUP(M486,[1]Directorate!$A:$B,2,FALSE)</f>
        <v>Mailroom Service</v>
      </c>
      <c r="K486" s="6">
        <f>ROUND(30000,2)</f>
        <v>30000</v>
      </c>
      <c r="L486" s="2">
        <v>400711</v>
      </c>
      <c r="M486" s="2">
        <v>11152</v>
      </c>
    </row>
    <row r="487" spans="1:13" ht="15.75" x14ac:dyDescent="0.25">
      <c r="A487" s="2" t="s">
        <v>621</v>
      </c>
      <c r="B487" s="2" t="s">
        <v>663</v>
      </c>
      <c r="C487" s="2">
        <v>1</v>
      </c>
      <c r="D487" s="2">
        <v>3188</v>
      </c>
      <c r="E487" s="2" t="s">
        <v>664</v>
      </c>
      <c r="F487" s="2">
        <v>380000</v>
      </c>
      <c r="G487" s="2" t="s">
        <v>773</v>
      </c>
      <c r="H487" s="2" t="s">
        <v>774</v>
      </c>
      <c r="I487" s="5" t="s">
        <v>702</v>
      </c>
      <c r="J487" s="2" t="str">
        <f>VLOOKUP(M487,[1]Directorate!$A:$B,2,FALSE)</f>
        <v>Driver Assessment</v>
      </c>
      <c r="K487" s="6">
        <f>ROUND(7600,2)</f>
        <v>7600</v>
      </c>
      <c r="L487" s="2">
        <v>300120</v>
      </c>
      <c r="M487" s="2">
        <v>11113</v>
      </c>
    </row>
    <row r="488" spans="1:13" ht="15.75" x14ac:dyDescent="0.25">
      <c r="A488" s="2" t="s">
        <v>621</v>
      </c>
      <c r="B488" s="2" t="s">
        <v>659</v>
      </c>
      <c r="C488" s="2">
        <v>2</v>
      </c>
      <c r="D488" s="2">
        <v>9011</v>
      </c>
      <c r="E488" s="2" t="s">
        <v>660</v>
      </c>
      <c r="F488" s="2">
        <v>190000</v>
      </c>
      <c r="G488" s="2" t="s">
        <v>747</v>
      </c>
      <c r="H488" s="2" t="s">
        <v>710</v>
      </c>
      <c r="I488" s="5" t="s">
        <v>702</v>
      </c>
      <c r="J488" s="2" t="str">
        <f>VLOOKUP(M488,[1]Directorate!$A:$B,2,FALSE)</f>
        <v>U-Coroners Ct-Genera</v>
      </c>
      <c r="K488" s="6">
        <f>ROUND(455,2)</f>
        <v>455</v>
      </c>
      <c r="L488" s="2">
        <v>400712</v>
      </c>
      <c r="M488" s="2">
        <v>10965</v>
      </c>
    </row>
    <row r="489" spans="1:13" ht="15.75" x14ac:dyDescent="0.25">
      <c r="A489" s="2" t="s">
        <v>621</v>
      </c>
      <c r="B489" s="2" t="s">
        <v>659</v>
      </c>
      <c r="C489" s="2">
        <v>3</v>
      </c>
      <c r="D489" s="2">
        <v>9011</v>
      </c>
      <c r="E489" s="2" t="s">
        <v>660</v>
      </c>
      <c r="F489" s="2">
        <v>190000</v>
      </c>
      <c r="G489" s="2" t="s">
        <v>747</v>
      </c>
      <c r="H489" s="2" t="s">
        <v>710</v>
      </c>
      <c r="I489" s="5" t="s">
        <v>702</v>
      </c>
      <c r="J489" s="2" t="str">
        <f>VLOOKUP(M489,[1]Directorate!$A:$B,2,FALSE)</f>
        <v>U-Coroners Ct-Genera</v>
      </c>
      <c r="K489" s="6">
        <f>ROUND(2940,2)</f>
        <v>2940</v>
      </c>
      <c r="L489" s="2">
        <v>400712</v>
      </c>
      <c r="M489" s="2">
        <v>10965</v>
      </c>
    </row>
    <row r="490" spans="1:13" ht="15.75" x14ac:dyDescent="0.25">
      <c r="A490" s="2" t="s">
        <v>621</v>
      </c>
      <c r="B490" s="2" t="s">
        <v>659</v>
      </c>
      <c r="C490" s="2">
        <v>4</v>
      </c>
      <c r="D490" s="2">
        <v>9011</v>
      </c>
      <c r="E490" s="2" t="s">
        <v>660</v>
      </c>
      <c r="F490" s="2">
        <v>190000</v>
      </c>
      <c r="G490" s="2" t="s">
        <v>747</v>
      </c>
      <c r="H490" s="2" t="s">
        <v>710</v>
      </c>
      <c r="I490" s="5" t="s">
        <v>702</v>
      </c>
      <c r="J490" s="2" t="str">
        <f>VLOOKUP(M490,[1]Directorate!$A:$B,2,FALSE)</f>
        <v>U-Coroners Ct-Genera</v>
      </c>
      <c r="K490" s="6">
        <f>ROUND(1080,2)</f>
        <v>1080</v>
      </c>
      <c r="L490" s="2">
        <v>400712</v>
      </c>
      <c r="M490" s="2">
        <v>10965</v>
      </c>
    </row>
    <row r="491" spans="1:13" ht="15.75" x14ac:dyDescent="0.25">
      <c r="A491" s="2" t="s">
        <v>621</v>
      </c>
      <c r="B491" s="2" t="s">
        <v>659</v>
      </c>
      <c r="C491" s="2">
        <v>5</v>
      </c>
      <c r="D491" s="2">
        <v>9011</v>
      </c>
      <c r="E491" s="2" t="s">
        <v>660</v>
      </c>
      <c r="F491" s="2">
        <v>190000</v>
      </c>
      <c r="G491" s="2" t="s">
        <v>747</v>
      </c>
      <c r="H491" s="2" t="s">
        <v>710</v>
      </c>
      <c r="I491" s="5" t="s">
        <v>702</v>
      </c>
      <c r="J491" s="2" t="str">
        <f>VLOOKUP(M491,[1]Directorate!$A:$B,2,FALSE)</f>
        <v>U-Coroners Ct-Genera</v>
      </c>
      <c r="K491" s="6">
        <f>ROUND(760,2)</f>
        <v>760</v>
      </c>
      <c r="L491" s="2">
        <v>400712</v>
      </c>
      <c r="M491" s="2">
        <v>10965</v>
      </c>
    </row>
    <row r="492" spans="1:13" ht="15.75" x14ac:dyDescent="0.25">
      <c r="A492" s="2" t="s">
        <v>621</v>
      </c>
      <c r="B492" s="2" t="s">
        <v>659</v>
      </c>
      <c r="C492" s="2">
        <v>6</v>
      </c>
      <c r="D492" s="2">
        <v>9011</v>
      </c>
      <c r="E492" s="2" t="s">
        <v>660</v>
      </c>
      <c r="F492" s="2">
        <v>190000</v>
      </c>
      <c r="G492" s="2" t="s">
        <v>747</v>
      </c>
      <c r="H492" s="2" t="s">
        <v>710</v>
      </c>
      <c r="I492" s="5" t="s">
        <v>702</v>
      </c>
      <c r="J492" s="2" t="str">
        <f>VLOOKUP(M492,[1]Directorate!$A:$B,2,FALSE)</f>
        <v>U-Coroners Ct-Genera</v>
      </c>
      <c r="K492" s="6">
        <f>ROUND(695,2)</f>
        <v>695</v>
      </c>
      <c r="L492" s="2">
        <v>400712</v>
      </c>
      <c r="M492" s="2">
        <v>10965</v>
      </c>
    </row>
    <row r="493" spans="1:13" ht="15.75" x14ac:dyDescent="0.25">
      <c r="A493" s="2" t="s">
        <v>621</v>
      </c>
      <c r="B493" s="2" t="s">
        <v>659</v>
      </c>
      <c r="C493" s="2">
        <v>7</v>
      </c>
      <c r="D493" s="2">
        <v>9011</v>
      </c>
      <c r="E493" s="2" t="s">
        <v>660</v>
      </c>
      <c r="F493" s="2">
        <v>190000</v>
      </c>
      <c r="G493" s="2" t="s">
        <v>747</v>
      </c>
      <c r="H493" s="2" t="s">
        <v>710</v>
      </c>
      <c r="I493" s="5" t="s">
        <v>702</v>
      </c>
      <c r="J493" s="2" t="str">
        <f>VLOOKUP(M493,[1]Directorate!$A:$B,2,FALSE)</f>
        <v>U-Coroners Ct-Genera</v>
      </c>
      <c r="K493" s="6">
        <f>ROUND(790,2)</f>
        <v>790</v>
      </c>
      <c r="L493" s="2">
        <v>400712</v>
      </c>
      <c r="M493" s="2">
        <v>10965</v>
      </c>
    </row>
    <row r="494" spans="1:13" ht="15.75" x14ac:dyDescent="0.25">
      <c r="A494" s="2" t="s">
        <v>621</v>
      </c>
      <c r="B494" s="2" t="s">
        <v>659</v>
      </c>
      <c r="C494" s="2">
        <v>8</v>
      </c>
      <c r="D494" s="2">
        <v>9011</v>
      </c>
      <c r="E494" s="2" t="s">
        <v>660</v>
      </c>
      <c r="F494" s="2">
        <v>190000</v>
      </c>
      <c r="G494" s="2" t="s">
        <v>747</v>
      </c>
      <c r="H494" s="2" t="s">
        <v>710</v>
      </c>
      <c r="I494" s="5" t="s">
        <v>702</v>
      </c>
      <c r="J494" s="2" t="str">
        <f>VLOOKUP(M494,[1]Directorate!$A:$B,2,FALSE)</f>
        <v>U-Coroners Ct-Genera</v>
      </c>
      <c r="K494" s="6">
        <f>ROUND(340,2)</f>
        <v>340</v>
      </c>
      <c r="L494" s="2">
        <v>400712</v>
      </c>
      <c r="M494" s="2">
        <v>10965</v>
      </c>
    </row>
    <row r="495" spans="1:13" ht="15.75" x14ac:dyDescent="0.25">
      <c r="A495" s="2" t="s">
        <v>621</v>
      </c>
      <c r="B495" s="2" t="s">
        <v>659</v>
      </c>
      <c r="C495" s="2">
        <v>9</v>
      </c>
      <c r="D495" s="2">
        <v>9011</v>
      </c>
      <c r="E495" s="2" t="s">
        <v>660</v>
      </c>
      <c r="F495" s="2">
        <v>190000</v>
      </c>
      <c r="G495" s="2" t="s">
        <v>747</v>
      </c>
      <c r="H495" s="2" t="s">
        <v>710</v>
      </c>
      <c r="I495" s="5" t="s">
        <v>702</v>
      </c>
      <c r="J495" s="2" t="str">
        <f>VLOOKUP(M495,[1]Directorate!$A:$B,2,FALSE)</f>
        <v>U-Coroners Ct-Genera</v>
      </c>
      <c r="K495" s="6">
        <f>ROUND(125,2)</f>
        <v>125</v>
      </c>
      <c r="L495" s="2">
        <v>400712</v>
      </c>
      <c r="M495" s="2">
        <v>10965</v>
      </c>
    </row>
    <row r="496" spans="1:13" ht="15.75" x14ac:dyDescent="0.25">
      <c r="A496" s="2" t="s">
        <v>621</v>
      </c>
      <c r="B496" s="2" t="s">
        <v>659</v>
      </c>
      <c r="C496" s="2">
        <v>10</v>
      </c>
      <c r="D496" s="2">
        <v>9011</v>
      </c>
      <c r="E496" s="2" t="s">
        <v>660</v>
      </c>
      <c r="F496" s="2">
        <v>190000</v>
      </c>
      <c r="G496" s="2" t="s">
        <v>747</v>
      </c>
      <c r="H496" s="2" t="s">
        <v>710</v>
      </c>
      <c r="I496" s="5" t="s">
        <v>702</v>
      </c>
      <c r="J496" s="2" t="str">
        <f>VLOOKUP(M496,[1]Directorate!$A:$B,2,FALSE)</f>
        <v>U-Coroners Ct-Genera</v>
      </c>
      <c r="K496" s="6">
        <f>ROUND(1275,2)</f>
        <v>1275</v>
      </c>
      <c r="L496" s="2">
        <v>400712</v>
      </c>
      <c r="M496" s="2">
        <v>10965</v>
      </c>
    </row>
    <row r="497" spans="1:13" ht="15.75" x14ac:dyDescent="0.25">
      <c r="A497" s="2" t="s">
        <v>621</v>
      </c>
      <c r="B497" s="2" t="s">
        <v>659</v>
      </c>
      <c r="C497" s="2">
        <v>11</v>
      </c>
      <c r="D497" s="2">
        <v>9011</v>
      </c>
      <c r="E497" s="2" t="s">
        <v>660</v>
      </c>
      <c r="F497" s="2">
        <v>190000</v>
      </c>
      <c r="G497" s="2" t="s">
        <v>747</v>
      </c>
      <c r="H497" s="2" t="s">
        <v>710</v>
      </c>
      <c r="I497" s="5" t="s">
        <v>702</v>
      </c>
      <c r="J497" s="2" t="str">
        <f>VLOOKUP(M497,[1]Directorate!$A:$B,2,FALSE)</f>
        <v>U-Coroners Ct-Genera</v>
      </c>
      <c r="K497" s="6">
        <f>ROUND(250,2)</f>
        <v>250</v>
      </c>
      <c r="L497" s="2">
        <v>400712</v>
      </c>
      <c r="M497" s="2">
        <v>10965</v>
      </c>
    </row>
    <row r="498" spans="1:13" ht="15.75" x14ac:dyDescent="0.25">
      <c r="A498" s="2" t="s">
        <v>621</v>
      </c>
      <c r="B498" s="2" t="s">
        <v>659</v>
      </c>
      <c r="C498" s="2">
        <v>12</v>
      </c>
      <c r="D498" s="2">
        <v>9011</v>
      </c>
      <c r="E498" s="2" t="s">
        <v>660</v>
      </c>
      <c r="F498" s="2">
        <v>190000</v>
      </c>
      <c r="G498" s="2" t="s">
        <v>747</v>
      </c>
      <c r="H498" s="2" t="s">
        <v>710</v>
      </c>
      <c r="I498" s="5" t="s">
        <v>702</v>
      </c>
      <c r="J498" s="2" t="str">
        <f>VLOOKUP(M498,[1]Directorate!$A:$B,2,FALSE)</f>
        <v>U-Coroners Ct-Genera</v>
      </c>
      <c r="K498" s="6">
        <f>ROUND(1990,2)</f>
        <v>1990</v>
      </c>
      <c r="L498" s="2">
        <v>400712</v>
      </c>
      <c r="M498" s="2">
        <v>10965</v>
      </c>
    </row>
    <row r="499" spans="1:13" ht="15.75" x14ac:dyDescent="0.25">
      <c r="A499" s="2" t="s">
        <v>621</v>
      </c>
      <c r="B499" s="2" t="s">
        <v>659</v>
      </c>
      <c r="C499" s="2">
        <v>13</v>
      </c>
      <c r="D499" s="2">
        <v>9011</v>
      </c>
      <c r="E499" s="2" t="s">
        <v>660</v>
      </c>
      <c r="F499" s="2">
        <v>190000</v>
      </c>
      <c r="G499" s="2" t="s">
        <v>747</v>
      </c>
      <c r="H499" s="2" t="s">
        <v>710</v>
      </c>
      <c r="I499" s="5" t="s">
        <v>702</v>
      </c>
      <c r="J499" s="2" t="str">
        <f>VLOOKUP(M499,[1]Directorate!$A:$B,2,FALSE)</f>
        <v>U-Coroners Ct-Genera</v>
      </c>
      <c r="K499" s="6">
        <f>ROUND(0,2)</f>
        <v>0</v>
      </c>
      <c r="L499" s="2">
        <v>400712</v>
      </c>
      <c r="M499" s="2">
        <v>10965</v>
      </c>
    </row>
    <row r="500" spans="1:13" ht="15.75" x14ac:dyDescent="0.25">
      <c r="A500" s="2" t="s">
        <v>650</v>
      </c>
      <c r="B500" s="2" t="s">
        <v>667</v>
      </c>
      <c r="C500" s="2">
        <v>1</v>
      </c>
      <c r="D500" s="2">
        <v>9973</v>
      </c>
      <c r="E500" s="2" t="s">
        <v>668</v>
      </c>
      <c r="F500" s="2">
        <v>390000</v>
      </c>
      <c r="G500" s="2" t="s">
        <v>703</v>
      </c>
      <c r="H500" s="2" t="s">
        <v>726</v>
      </c>
      <c r="I500" s="7" t="s">
        <v>702</v>
      </c>
      <c r="J500" s="2" t="e">
        <f>VLOOKUP(M500,[1]Directorate!$A:$B,2,FALSE)</f>
        <v>#N/A</v>
      </c>
      <c r="K500" s="6">
        <f>ROUND(358718.16,2)</f>
        <v>358718.16</v>
      </c>
      <c r="L500" s="2">
        <v>200311</v>
      </c>
      <c r="M500" s="2" t="s">
        <v>669</v>
      </c>
    </row>
    <row r="501" spans="1:13" ht="15.75" x14ac:dyDescent="0.25">
      <c r="A501" s="2" t="s">
        <v>650</v>
      </c>
      <c r="B501" s="2" t="s">
        <v>670</v>
      </c>
      <c r="C501" s="2">
        <v>1</v>
      </c>
      <c r="D501" s="2">
        <v>9973</v>
      </c>
      <c r="E501" s="2" t="s">
        <v>668</v>
      </c>
      <c r="F501" s="2">
        <v>390000</v>
      </c>
      <c r="G501" s="2" t="s">
        <v>703</v>
      </c>
      <c r="H501" s="2" t="s">
        <v>726</v>
      </c>
      <c r="I501" s="7" t="s">
        <v>702</v>
      </c>
      <c r="J501" s="2" t="e">
        <f>VLOOKUP(M501,[1]Directorate!$A:$B,2,FALSE)</f>
        <v>#N/A</v>
      </c>
      <c r="K501" s="6">
        <f>ROUND(229033.03,2)</f>
        <v>229033.03</v>
      </c>
      <c r="L501" s="2">
        <v>200311</v>
      </c>
      <c r="M501" s="2" t="s">
        <v>324</v>
      </c>
    </row>
    <row r="502" spans="1:13" ht="15.75" x14ac:dyDescent="0.25">
      <c r="A502" s="2" t="s">
        <v>650</v>
      </c>
      <c r="B502" s="2" t="s">
        <v>671</v>
      </c>
      <c r="C502" s="2">
        <v>1</v>
      </c>
      <c r="D502" s="2">
        <v>6748</v>
      </c>
      <c r="E502" s="2" t="s">
        <v>11</v>
      </c>
      <c r="F502" s="2">
        <v>390000</v>
      </c>
      <c r="G502" s="2" t="s">
        <v>713</v>
      </c>
      <c r="H502" s="2" t="s">
        <v>713</v>
      </c>
      <c r="I502" s="7" t="s">
        <v>714</v>
      </c>
      <c r="J502" s="2" t="e">
        <f>VLOOKUP(M502,[1]Directorate!$A:$B,2,FALSE)</f>
        <v>#N/A</v>
      </c>
      <c r="K502" s="6">
        <f>ROUND(12739.88,2)</f>
        <v>12739.88</v>
      </c>
      <c r="L502" s="2">
        <v>401600</v>
      </c>
      <c r="M502" s="2" t="s">
        <v>629</v>
      </c>
    </row>
    <row r="503" spans="1:13" ht="15.75" x14ac:dyDescent="0.25">
      <c r="A503" s="2" t="s">
        <v>559</v>
      </c>
      <c r="B503" s="2" t="s">
        <v>631</v>
      </c>
      <c r="C503" s="2">
        <v>1</v>
      </c>
      <c r="D503" s="2">
        <v>15975</v>
      </c>
      <c r="E503" s="2" t="s">
        <v>632</v>
      </c>
      <c r="F503" s="2">
        <v>150000</v>
      </c>
      <c r="G503" s="2" t="s">
        <v>716</v>
      </c>
      <c r="H503" s="2" t="s">
        <v>717</v>
      </c>
      <c r="I503" s="5" t="s">
        <v>714</v>
      </c>
      <c r="J503" s="2" t="str">
        <f>VLOOKUP(M503,[1]Directorate!$A:$B,2,FALSE)</f>
        <v>Building Inspection</v>
      </c>
      <c r="K503" s="6">
        <f>ROUND(66600,2)</f>
        <v>66600</v>
      </c>
      <c r="L503" s="2">
        <v>401007</v>
      </c>
      <c r="M503" s="2">
        <v>12152</v>
      </c>
    </row>
    <row r="504" spans="1:13" ht="15.75" x14ac:dyDescent="0.25">
      <c r="A504" s="2" t="s">
        <v>559</v>
      </c>
      <c r="B504" s="2" t="s">
        <v>644</v>
      </c>
      <c r="C504" s="2">
        <v>1</v>
      </c>
      <c r="D504" s="2">
        <v>3156</v>
      </c>
      <c r="E504" s="2" t="s">
        <v>153</v>
      </c>
      <c r="F504" s="2">
        <v>191600</v>
      </c>
      <c r="G504" s="2" t="s">
        <v>738</v>
      </c>
      <c r="H504" s="2" t="s">
        <v>739</v>
      </c>
      <c r="I504" s="5" t="s">
        <v>705</v>
      </c>
      <c r="J504" s="2" t="str">
        <f>VLOOKUP(M504,[1]Directorate!$A:$B,2,FALSE)</f>
        <v>Early Implementer EY</v>
      </c>
      <c r="K504" s="6">
        <f>ROUND(109.72,2)</f>
        <v>109.72</v>
      </c>
      <c r="L504" s="2">
        <v>400800</v>
      </c>
      <c r="M504" s="2">
        <v>12903</v>
      </c>
    </row>
    <row r="505" spans="1:13" ht="15.75" x14ac:dyDescent="0.25">
      <c r="A505" s="2" t="s">
        <v>559</v>
      </c>
      <c r="B505" s="2" t="s">
        <v>645</v>
      </c>
      <c r="C505" s="2">
        <v>1</v>
      </c>
      <c r="D505" s="2">
        <v>4369</v>
      </c>
      <c r="E505" s="2" t="s">
        <v>521</v>
      </c>
      <c r="F505" s="2">
        <v>310000</v>
      </c>
      <c r="G505" s="2" t="s">
        <v>745</v>
      </c>
      <c r="H505" s="2" t="s">
        <v>746</v>
      </c>
      <c r="I505" s="5" t="s">
        <v>705</v>
      </c>
      <c r="J505" s="2" t="str">
        <f>VLOOKUP(M505,[1]Directorate!$A:$B,2,FALSE)</f>
        <v>Scale &amp; Spread - NWD</v>
      </c>
      <c r="K505" s="6">
        <f>ROUND(31326,2)</f>
        <v>31326</v>
      </c>
      <c r="L505" s="2">
        <v>500402</v>
      </c>
      <c r="M505" s="2">
        <v>13029</v>
      </c>
    </row>
    <row r="506" spans="1:13" ht="15.75" x14ac:dyDescent="0.25">
      <c r="A506" s="2" t="s">
        <v>559</v>
      </c>
      <c r="B506" s="2" t="s">
        <v>658</v>
      </c>
      <c r="C506" s="2">
        <v>1</v>
      </c>
      <c r="D506" s="2">
        <v>14262</v>
      </c>
      <c r="E506" s="2" t="s">
        <v>410</v>
      </c>
      <c r="F506" s="2">
        <v>320000</v>
      </c>
      <c r="G506" s="2" t="s">
        <v>741</v>
      </c>
      <c r="H506" s="2" t="s">
        <v>761</v>
      </c>
      <c r="I506" s="5" t="s">
        <v>705</v>
      </c>
      <c r="J506" s="2" t="str">
        <f>VLOOKUP(M506,[1]Directorate!$A:$B,2,FALSE)</f>
        <v>SC - Leaving Care</v>
      </c>
      <c r="K506" s="6">
        <f>ROUND(7281.23,2)</f>
        <v>7281.23</v>
      </c>
      <c r="L506" s="2">
        <v>530330</v>
      </c>
      <c r="M506" s="2">
        <v>11501</v>
      </c>
    </row>
    <row r="507" spans="1:13" ht="15.75" x14ac:dyDescent="0.25">
      <c r="A507" s="2" t="s">
        <v>559</v>
      </c>
      <c r="B507" s="2" t="s">
        <v>662</v>
      </c>
      <c r="C507" s="2">
        <v>1</v>
      </c>
      <c r="D507" s="2">
        <v>12775</v>
      </c>
      <c r="E507" s="2" t="s">
        <v>302</v>
      </c>
      <c r="F507" s="2">
        <v>999999</v>
      </c>
      <c r="G507" s="2" t="s">
        <v>715</v>
      </c>
      <c r="H507" s="2" t="s">
        <v>715</v>
      </c>
      <c r="I507" s="5" t="s">
        <v>705</v>
      </c>
      <c r="J507" s="2" t="str">
        <f>VLOOKUP(M507,[1]Directorate!$A:$B,2,FALSE)</f>
        <v>RAA - ASF Grant</v>
      </c>
      <c r="K507" s="6">
        <f>ROUND(9444,2)</f>
        <v>9444</v>
      </c>
      <c r="L507" s="2">
        <v>401035</v>
      </c>
      <c r="M507" s="2">
        <v>12968</v>
      </c>
    </row>
    <row r="508" spans="1:13" ht="15.75" x14ac:dyDescent="0.25">
      <c r="A508" s="2" t="s">
        <v>559</v>
      </c>
      <c r="B508" s="2" t="s">
        <v>665</v>
      </c>
      <c r="C508" s="2">
        <v>1</v>
      </c>
      <c r="D508" s="2">
        <v>12723</v>
      </c>
      <c r="E508" s="2" t="s">
        <v>666</v>
      </c>
      <c r="F508" s="2">
        <v>999999</v>
      </c>
      <c r="G508" s="2" t="s">
        <v>715</v>
      </c>
      <c r="H508" s="2" t="s">
        <v>715</v>
      </c>
      <c r="I508" s="5" t="s">
        <v>705</v>
      </c>
      <c r="J508" s="2" t="str">
        <f>VLOOKUP(M508,[1]Directorate!$A:$B,2,FALSE)</f>
        <v>RAA - ASF Grant</v>
      </c>
      <c r="K508" s="6">
        <f>ROUND(5000,2)</f>
        <v>5000</v>
      </c>
      <c r="L508" s="2">
        <v>401035</v>
      </c>
      <c r="M508" s="2">
        <v>12968</v>
      </c>
    </row>
    <row r="509" spans="1:13" ht="15.75" x14ac:dyDescent="0.25">
      <c r="A509" s="2" t="s">
        <v>559</v>
      </c>
      <c r="B509" s="2" t="s">
        <v>672</v>
      </c>
      <c r="C509" s="2">
        <v>1</v>
      </c>
      <c r="D509" s="2">
        <v>14951</v>
      </c>
      <c r="E509" s="2" t="s">
        <v>86</v>
      </c>
      <c r="F509" s="2">
        <v>240000</v>
      </c>
      <c r="G509" s="2" t="s">
        <v>711</v>
      </c>
      <c r="H509" s="2" t="s">
        <v>712</v>
      </c>
      <c r="I509" s="7" t="s">
        <v>714</v>
      </c>
      <c r="J509" s="2" t="e">
        <f>VLOOKUP(M509,[1]Directorate!$A:$B,2,FALSE)</f>
        <v>#N/A</v>
      </c>
      <c r="K509" s="6">
        <f>ROUND(8980,2)</f>
        <v>8980</v>
      </c>
      <c r="L509" s="2">
        <v>202032</v>
      </c>
      <c r="M509" s="2" t="s">
        <v>82</v>
      </c>
    </row>
    <row r="510" spans="1:13" ht="15.75" x14ac:dyDescent="0.25">
      <c r="A510" s="2" t="s">
        <v>559</v>
      </c>
      <c r="B510" s="2" t="s">
        <v>673</v>
      </c>
      <c r="C510" s="2">
        <v>1</v>
      </c>
      <c r="D510" s="2">
        <v>6748</v>
      </c>
      <c r="E510" s="2" t="s">
        <v>11</v>
      </c>
      <c r="F510" s="2">
        <v>390000</v>
      </c>
      <c r="G510" s="2" t="s">
        <v>703</v>
      </c>
      <c r="H510" s="2" t="s">
        <v>726</v>
      </c>
      <c r="I510" s="7" t="s">
        <v>714</v>
      </c>
      <c r="J510" s="2" t="e">
        <f>VLOOKUP(M510,[1]Directorate!$A:$B,2,FALSE)</f>
        <v>#N/A</v>
      </c>
      <c r="K510" s="6">
        <f>ROUND(6864.26,2)</f>
        <v>6864.26</v>
      </c>
      <c r="L510" s="2">
        <v>200304</v>
      </c>
      <c r="M510" s="2" t="s">
        <v>674</v>
      </c>
    </row>
    <row r="511" spans="1:13" ht="15.75" x14ac:dyDescent="0.25">
      <c r="A511" s="2" t="s">
        <v>559</v>
      </c>
      <c r="B511" s="2" t="s">
        <v>675</v>
      </c>
      <c r="C511" s="2">
        <v>1</v>
      </c>
      <c r="D511" s="2">
        <v>2025</v>
      </c>
      <c r="E511" s="2" t="s">
        <v>343</v>
      </c>
      <c r="F511" s="2">
        <v>230000</v>
      </c>
      <c r="G511" s="2" t="s">
        <v>756</v>
      </c>
      <c r="H511" s="2" t="s">
        <v>757</v>
      </c>
      <c r="I511" s="7" t="s">
        <v>714</v>
      </c>
      <c r="J511" s="2" t="e">
        <f>VLOOKUP(M511,[1]Directorate!$A:$B,2,FALSE)</f>
        <v>#N/A</v>
      </c>
      <c r="K511" s="6">
        <f>ROUND(6195.6,2)</f>
        <v>6195.6</v>
      </c>
      <c r="L511" s="2">
        <v>202055</v>
      </c>
      <c r="M511" s="2" t="s">
        <v>373</v>
      </c>
    </row>
    <row r="512" spans="1:13" ht="15.75" x14ac:dyDescent="0.25">
      <c r="A512" s="2" t="s">
        <v>559</v>
      </c>
      <c r="B512" s="2" t="s">
        <v>676</v>
      </c>
      <c r="C512" s="2">
        <v>1</v>
      </c>
      <c r="D512" s="2">
        <v>1058</v>
      </c>
      <c r="E512" s="2" t="s">
        <v>677</v>
      </c>
      <c r="F512" s="2">
        <v>261300</v>
      </c>
      <c r="G512" s="2" t="s">
        <v>766</v>
      </c>
      <c r="H512" s="2" t="s">
        <v>767</v>
      </c>
      <c r="I512" s="5" t="s">
        <v>702</v>
      </c>
      <c r="J512" s="2" t="str">
        <f>VLOOKUP(M512,[1]Directorate!$A:$B,2,FALSE)</f>
        <v>Chief Execs Office</v>
      </c>
      <c r="K512" s="6">
        <f>ROUND(5000,2)</f>
        <v>5000</v>
      </c>
      <c r="L512" s="2">
        <v>102040</v>
      </c>
      <c r="M512" s="2">
        <v>11112</v>
      </c>
    </row>
    <row r="513" spans="1:13" ht="15.75" x14ac:dyDescent="0.25">
      <c r="A513" s="2" t="s">
        <v>559</v>
      </c>
      <c r="B513" s="2" t="s">
        <v>678</v>
      </c>
      <c r="C513" s="2">
        <v>1</v>
      </c>
      <c r="D513" s="2">
        <v>6967</v>
      </c>
      <c r="E513" s="2" t="s">
        <v>53</v>
      </c>
      <c r="F513" s="2">
        <v>390000</v>
      </c>
      <c r="G513" s="2" t="s">
        <v>713</v>
      </c>
      <c r="H513" s="2" t="s">
        <v>713</v>
      </c>
      <c r="I513" s="7" t="s">
        <v>714</v>
      </c>
      <c r="J513" s="2" t="e">
        <f>VLOOKUP(M513,[1]Directorate!$A:$B,2,FALSE)</f>
        <v>#N/A</v>
      </c>
      <c r="K513" s="6">
        <f>ROUND(67419.5,2)</f>
        <v>67419.5</v>
      </c>
      <c r="L513" s="2">
        <v>401600</v>
      </c>
      <c r="M513" s="2" t="s">
        <v>379</v>
      </c>
    </row>
    <row r="514" spans="1:13" ht="15.75" x14ac:dyDescent="0.25">
      <c r="A514" s="2" t="s">
        <v>559</v>
      </c>
      <c r="B514" s="2" t="s">
        <v>679</v>
      </c>
      <c r="C514" s="2">
        <v>1</v>
      </c>
      <c r="D514" s="2">
        <v>6748</v>
      </c>
      <c r="E514" s="2" t="s">
        <v>11</v>
      </c>
      <c r="F514" s="2">
        <v>391114</v>
      </c>
      <c r="G514" s="2" t="s">
        <v>733</v>
      </c>
      <c r="H514" s="2" t="s">
        <v>734</v>
      </c>
      <c r="I514" s="7" t="s">
        <v>714</v>
      </c>
      <c r="J514" s="2" t="e">
        <f>VLOOKUP(M514,[1]Directorate!$A:$B,2,FALSE)</f>
        <v>#N/A</v>
      </c>
      <c r="K514" s="6">
        <f>ROUND(5321.08,2)</f>
        <v>5321.08</v>
      </c>
      <c r="L514" s="2">
        <v>200316</v>
      </c>
      <c r="M514" s="2" t="s">
        <v>446</v>
      </c>
    </row>
    <row r="515" spans="1:13" ht="15.75" x14ac:dyDescent="0.25">
      <c r="A515" s="2" t="s">
        <v>559</v>
      </c>
      <c r="B515" s="2" t="s">
        <v>680</v>
      </c>
      <c r="C515" s="2">
        <v>1</v>
      </c>
      <c r="D515" s="2">
        <v>10858</v>
      </c>
      <c r="E515" s="2" t="s">
        <v>681</v>
      </c>
      <c r="F515" s="2">
        <v>261500</v>
      </c>
      <c r="G515" s="2" t="s">
        <v>718</v>
      </c>
      <c r="H515" s="2" t="s">
        <v>715</v>
      </c>
      <c r="I515" s="5" t="s">
        <v>714</v>
      </c>
      <c r="J515" s="2" t="str">
        <f>VLOOKUP(M515,[1]Directorate!$A:$B,2,FALSE)</f>
        <v>Contin Educ Service</v>
      </c>
      <c r="K515" s="6">
        <f>ROUND(99931,2)</f>
        <v>99931</v>
      </c>
      <c r="L515" s="2">
        <v>401024</v>
      </c>
      <c r="M515" s="2">
        <v>10511</v>
      </c>
    </row>
    <row r="516" spans="1:13" ht="15.75" x14ac:dyDescent="0.25">
      <c r="A516" s="2" t="s">
        <v>559</v>
      </c>
      <c r="B516" s="2" t="s">
        <v>682</v>
      </c>
      <c r="C516" s="2">
        <v>1</v>
      </c>
      <c r="D516" s="2">
        <v>4272</v>
      </c>
      <c r="E516" s="2" t="s">
        <v>56</v>
      </c>
      <c r="F516" s="2">
        <v>270000</v>
      </c>
      <c r="G516" s="2" t="s">
        <v>724</v>
      </c>
      <c r="H516" s="2" t="s">
        <v>725</v>
      </c>
      <c r="I516" s="5" t="s">
        <v>702</v>
      </c>
      <c r="J516" s="2" t="str">
        <f>VLOOKUP(M516,[1]Directorate!$A:$B,2,FALSE)</f>
        <v>Legal Services</v>
      </c>
      <c r="K516" s="6">
        <f>ROUND(9600,2)</f>
        <v>9600</v>
      </c>
      <c r="L516" s="2">
        <v>402001</v>
      </c>
      <c r="M516" s="2">
        <v>11117</v>
      </c>
    </row>
    <row r="517" spans="1:13" ht="15.75" x14ac:dyDescent="0.25">
      <c r="A517" s="2" t="s">
        <v>559</v>
      </c>
      <c r="B517" s="2" t="s">
        <v>683</v>
      </c>
      <c r="C517" s="2">
        <v>1</v>
      </c>
      <c r="D517" s="2">
        <v>8565</v>
      </c>
      <c r="E517" s="2" t="s">
        <v>684</v>
      </c>
      <c r="F517" s="2">
        <v>390000</v>
      </c>
      <c r="G517" s="2" t="s">
        <v>713</v>
      </c>
      <c r="H517" s="2" t="s">
        <v>713</v>
      </c>
      <c r="I517" s="5" t="s">
        <v>705</v>
      </c>
      <c r="J517" s="2" t="str">
        <f>VLOOKUP(M517,[1]Directorate!$A:$B,2,FALSE)</f>
        <v>PH-Mental Wellbeing</v>
      </c>
      <c r="K517" s="6">
        <f>ROUND(5000,2)</f>
        <v>5000</v>
      </c>
      <c r="L517" s="2">
        <v>401600</v>
      </c>
      <c r="M517" s="2">
        <v>12734</v>
      </c>
    </row>
    <row r="518" spans="1:13" ht="15.75" x14ac:dyDescent="0.25">
      <c r="A518" s="2" t="s">
        <v>559</v>
      </c>
      <c r="B518" s="2" t="s">
        <v>685</v>
      </c>
      <c r="C518" s="2">
        <v>1</v>
      </c>
      <c r="D518" s="2">
        <v>843</v>
      </c>
      <c r="E518" s="2" t="s">
        <v>367</v>
      </c>
      <c r="F518" s="2">
        <v>390000</v>
      </c>
      <c r="G518" s="2" t="s">
        <v>713</v>
      </c>
      <c r="H518" s="2" t="s">
        <v>713</v>
      </c>
      <c r="I518" s="7" t="s">
        <v>714</v>
      </c>
      <c r="J518" s="2" t="e">
        <f>VLOOKUP(M518,[1]Directorate!$A:$B,2,FALSE)</f>
        <v>#N/A</v>
      </c>
      <c r="K518" s="6">
        <f>ROUND(17325,2)</f>
        <v>17325</v>
      </c>
      <c r="L518" s="2">
        <v>401600</v>
      </c>
      <c r="M518" s="2" t="s">
        <v>686</v>
      </c>
    </row>
    <row r="519" spans="1:13" ht="15.75" x14ac:dyDescent="0.25">
      <c r="A519" s="2" t="s">
        <v>559</v>
      </c>
      <c r="B519" s="2" t="s">
        <v>644</v>
      </c>
      <c r="C519" s="2">
        <v>2</v>
      </c>
      <c r="D519" s="2">
        <v>3156</v>
      </c>
      <c r="E519" s="2" t="s">
        <v>153</v>
      </c>
      <c r="F519" s="2">
        <v>191600</v>
      </c>
      <c r="G519" s="2" t="s">
        <v>738</v>
      </c>
      <c r="H519" s="2" t="s">
        <v>739</v>
      </c>
      <c r="I519" s="5" t="s">
        <v>705</v>
      </c>
      <c r="J519" s="2" t="str">
        <f>VLOOKUP(M519,[1]Directorate!$A:$B,2,FALSE)</f>
        <v>Early Implementer EY</v>
      </c>
      <c r="K519" s="6">
        <f>ROUND(6380,2)</f>
        <v>6380</v>
      </c>
      <c r="L519" s="2">
        <v>400800</v>
      </c>
      <c r="M519" s="2">
        <v>12903</v>
      </c>
    </row>
  </sheetData>
  <autoFilter ref="A1:M519" xr:uid="{00000000-0001-0000-0000-000000000000}"/>
  <sortState xmlns:xlrd2="http://schemas.microsoft.com/office/spreadsheetml/2017/richdata2" ref="A2:L519">
    <sortCondition ref="A2:A519"/>
    <sortCondition ref="C2:C519"/>
  </sortState>
  <pageMargins left="0.25" right="0.25" top="0.25" bottom="0.75" header="0.25" footer="0.2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Alison Lomas</cp:lastModifiedBy>
  <dcterms:created xsi:type="dcterms:W3CDTF">2024-10-02T11:00:38Z</dcterms:created>
  <dcterms:modified xsi:type="dcterms:W3CDTF">2024-10-03T09:04:07Z</dcterms:modified>
</cp:coreProperties>
</file>